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05" yWindow="-195" windowWidth="12360" windowHeight="969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2"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比较法-工业" sheetId="40" state="hidden" r:id="rId21"/>
    <sheet name="案例" sheetId="81" r:id="rId22"/>
    <sheet name="成本法" sheetId="68" r:id="rId23"/>
    <sheet name="成本法 (元)" sheetId="69" state="hidden" r:id="rId24"/>
    <sheet name="假设开发法" sheetId="12" r:id="rId25"/>
    <sheet name="比较法-住宅" sheetId="21" r:id="rId26"/>
    <sheet name="收益法" sheetId="15" r:id="rId27"/>
    <sheet name="收益法2" sheetId="83"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1" hidden="1">案例!$A$1:$AZ$1</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'比较法-住宅'!$A$1:$L$49</definedName>
    <definedName name="_xlnm._FilterDatabase" localSheetId="13"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5">'比较法-住宅'!$A$1:$K$54,'比较法-住宅'!$A$57:$M$131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27">收益法2!$A$1:$F$43,收益法2!$H$3:$M$29,收益法2!$A$46:$F$71,收益法2!$I$46:$N$65</definedName>
    <definedName name="_xlnm.Print_Area" localSheetId="14">'数据-汇总表'!$A$1:$P$32</definedName>
    <definedName name="_xlnm.Print_Area" localSheetId="20">'土地比较法-工业'!$A$1:$K$61,'土地比较法-工业'!$A$64:$M$121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21" l="1"/>
  <c r="F104" i="21" s="1"/>
  <c r="G104" i="21" s="1"/>
  <c r="H104" i="21" s="1"/>
  <c r="D104" i="21"/>
  <c r="H18" i="12"/>
  <c r="C15" i="74"/>
  <c r="B15" i="74"/>
  <c r="G34" i="1"/>
  <c r="D15" i="74" l="1"/>
  <c r="G15" i="74" s="1"/>
  <c r="G20" i="6" l="1"/>
  <c r="AN13" i="3"/>
  <c r="AJ13" i="3"/>
  <c r="AF13" i="3"/>
  <c r="AD13" i="3"/>
  <c r="M13" i="3"/>
  <c r="K13" i="3"/>
  <c r="I13" i="3"/>
  <c r="N53" i="82"/>
  <c r="J53" i="82"/>
  <c r="J37" i="82"/>
  <c r="H37" i="82" s="1"/>
  <c r="O54" i="82"/>
  <c r="N54" i="82"/>
  <c r="M54" i="82"/>
  <c r="L54" i="82"/>
  <c r="K54" i="82"/>
  <c r="I54" i="82"/>
  <c r="G54" i="82"/>
  <c r="F54" i="82"/>
  <c r="E54" i="82"/>
  <c r="B54" i="82"/>
  <c r="H53" i="82"/>
  <c r="D53" i="82"/>
  <c r="H52" i="82"/>
  <c r="D52" i="82"/>
  <c r="H51" i="82"/>
  <c r="D51" i="82"/>
  <c r="C51" i="82" s="1"/>
  <c r="H50" i="82"/>
  <c r="D50" i="82"/>
  <c r="H49" i="82"/>
  <c r="D49" i="82"/>
  <c r="H48" i="82"/>
  <c r="D48" i="82"/>
  <c r="H47" i="82"/>
  <c r="D47" i="82"/>
  <c r="C47" i="82"/>
  <c r="H46" i="82"/>
  <c r="D46" i="82"/>
  <c r="C46" i="82" s="1"/>
  <c r="H45" i="82"/>
  <c r="D45" i="82"/>
  <c r="C45" i="82" s="1"/>
  <c r="H44" i="82"/>
  <c r="D44" i="82"/>
  <c r="C44" i="82" s="1"/>
  <c r="H43" i="82"/>
  <c r="D43" i="82"/>
  <c r="C43" i="82" s="1"/>
  <c r="H42" i="82"/>
  <c r="D42" i="82"/>
  <c r="H41" i="82"/>
  <c r="D41" i="82"/>
  <c r="H40" i="82"/>
  <c r="D40" i="82"/>
  <c r="H39" i="82"/>
  <c r="C39" i="82" s="1"/>
  <c r="D39" i="82"/>
  <c r="H38" i="82"/>
  <c r="D38" i="82"/>
  <c r="D37" i="82"/>
  <c r="H36" i="82"/>
  <c r="D36" i="82"/>
  <c r="C37" i="82" l="1"/>
  <c r="C38" i="82"/>
  <c r="C40" i="82"/>
  <c r="C41" i="82"/>
  <c r="C42" i="82"/>
  <c r="C48" i="82"/>
  <c r="C49" i="82"/>
  <c r="C50" i="82"/>
  <c r="C53" i="82"/>
  <c r="C52" i="82"/>
  <c r="D54" i="82"/>
  <c r="J54" i="82"/>
  <c r="H54" i="82"/>
  <c r="C36" i="82"/>
  <c r="Q72" i="83"/>
  <c r="Q59" i="83"/>
  <c r="K59" i="83"/>
  <c r="P74" i="83" s="1"/>
  <c r="F59" i="83"/>
  <c r="Q58"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E117" i="39"/>
  <c r="F117" i="39" s="1"/>
  <c r="D117" i="39"/>
  <c r="E70" i="39"/>
  <c r="F70" i="39" s="1"/>
  <c r="G70" i="39" s="1"/>
  <c r="H70" i="39" s="1"/>
  <c r="I70" i="39" s="1"/>
  <c r="J70" i="39" s="1"/>
  <c r="K70" i="39" s="1"/>
  <c r="L70" i="39" s="1"/>
  <c r="M70" i="39" s="1"/>
  <c r="N70" i="39" s="1"/>
  <c r="O70" i="39" s="1"/>
  <c r="P70" i="39" s="1"/>
  <c r="Q70" i="39" s="1"/>
  <c r="R70" i="39" s="1"/>
  <c r="S70" i="39" s="1"/>
  <c r="T70" i="39" s="1"/>
  <c r="U70" i="39" s="1"/>
  <c r="D70" i="39"/>
  <c r="E86" i="39"/>
  <c r="F86" i="39" s="1"/>
  <c r="G86" i="39" s="1"/>
  <c r="D86" i="39"/>
  <c r="C76" i="83"/>
  <c r="M22" i="83"/>
  <c r="M24" i="83"/>
  <c r="F8" i="83"/>
  <c r="F9" i="83"/>
  <c r="C54" i="82" l="1"/>
  <c r="Q71" i="83"/>
  <c r="F51" i="83"/>
  <c r="P61" i="83"/>
  <c r="I46" i="39"/>
  <c r="G46" i="39"/>
  <c r="E46" i="39"/>
  <c r="I38" i="39"/>
  <c r="G38" i="39"/>
  <c r="E38" i="39"/>
  <c r="J15" i="83"/>
  <c r="M6" i="83"/>
  <c r="L48" i="83"/>
  <c r="F26" i="83"/>
  <c r="M9" i="83"/>
  <c r="M26" i="83"/>
  <c r="F13" i="83"/>
  <c r="F40" i="83"/>
  <c r="M28" i="83"/>
  <c r="F38" i="83"/>
  <c r="M23" i="83"/>
  <c r="F6" i="83"/>
  <c r="F42" i="83"/>
  <c r="F37" i="83"/>
  <c r="M8" i="83"/>
  <c r="L47" i="83"/>
  <c r="F36" i="83"/>
  <c r="F16" i="83"/>
  <c r="L57" i="83" l="1"/>
  <c r="L56" i="83"/>
  <c r="J57" i="83"/>
  <c r="J55" i="83" s="1"/>
  <c r="J58" i="83" s="1"/>
  <c r="Q50" i="83" s="1"/>
  <c r="I54" i="83"/>
  <c r="L60" i="83"/>
  <c r="J53" i="83"/>
  <c r="F65" i="83"/>
  <c r="F68" i="83"/>
  <c r="N59" i="83"/>
  <c r="L59" i="83"/>
  <c r="L58" i="83"/>
  <c r="F66" i="83"/>
  <c r="F64" i="83"/>
  <c r="C27" i="83"/>
  <c r="I7" i="39"/>
  <c r="G7" i="39"/>
  <c r="E7" i="39"/>
  <c r="I5" i="39"/>
  <c r="G5" i="39"/>
  <c r="E5" i="39"/>
  <c r="N14" i="1"/>
  <c r="B21" i="1" s="1"/>
  <c r="L14" i="1"/>
  <c r="L8" i="1"/>
  <c r="M27" i="82"/>
  <c r="N27" i="82"/>
  <c r="O27" i="82"/>
  <c r="H8" i="82"/>
  <c r="H9" i="82"/>
  <c r="H10" i="82"/>
  <c r="H11" i="82"/>
  <c r="H12" i="82"/>
  <c r="H13" i="82"/>
  <c r="H14" i="82"/>
  <c r="H15" i="82"/>
  <c r="H16" i="82"/>
  <c r="H17" i="82"/>
  <c r="H18" i="82"/>
  <c r="H19" i="82"/>
  <c r="H20" i="82"/>
  <c r="H21" i="82"/>
  <c r="H22" i="82"/>
  <c r="H23" i="82"/>
  <c r="H24" i="82"/>
  <c r="H25" i="82"/>
  <c r="H26" i="82"/>
  <c r="H7" i="82"/>
  <c r="D8" i="82"/>
  <c r="C8" i="82" s="1"/>
  <c r="D9" i="82"/>
  <c r="C9" i="82" s="1"/>
  <c r="D10" i="82"/>
  <c r="C10" i="82" s="1"/>
  <c r="D11" i="82"/>
  <c r="C11" i="82" s="1"/>
  <c r="D12" i="82"/>
  <c r="C12" i="82" s="1"/>
  <c r="D13" i="82"/>
  <c r="C13" i="82" s="1"/>
  <c r="D14" i="82"/>
  <c r="C14" i="82" s="1"/>
  <c r="D15" i="82"/>
  <c r="C15" i="82" s="1"/>
  <c r="D16" i="82"/>
  <c r="C16" i="82" s="1"/>
  <c r="D17" i="82"/>
  <c r="C17" i="82" s="1"/>
  <c r="D18" i="82"/>
  <c r="C18" i="82" s="1"/>
  <c r="D19" i="82"/>
  <c r="C19" i="82" s="1"/>
  <c r="D20" i="82"/>
  <c r="C20" i="82" s="1"/>
  <c r="D21" i="82"/>
  <c r="C21" i="82" s="1"/>
  <c r="D22" i="82"/>
  <c r="C22" i="82" s="1"/>
  <c r="D23" i="82"/>
  <c r="C23" i="82" s="1"/>
  <c r="D24" i="82"/>
  <c r="C24" i="82" s="1"/>
  <c r="D25" i="82"/>
  <c r="C25" i="82" s="1"/>
  <c r="D26" i="82"/>
  <c r="C26" i="82" s="1"/>
  <c r="D7" i="82"/>
  <c r="C7" i="82" s="1"/>
  <c r="D27" i="82"/>
  <c r="E27" i="82"/>
  <c r="F27" i="82"/>
  <c r="G27" i="82"/>
  <c r="I27" i="82"/>
  <c r="J27" i="82"/>
  <c r="K27" i="82"/>
  <c r="L27" i="82"/>
  <c r="B27" i="82"/>
  <c r="D3" i="4"/>
  <c r="H27" i="82" l="1"/>
  <c r="Q61" i="83"/>
  <c r="Q74" i="83"/>
  <c r="Q66" i="83"/>
  <c r="Q57" i="83"/>
  <c r="Q60" i="83"/>
  <c r="Q73" i="83"/>
  <c r="Q52" i="83"/>
  <c r="F1" i="83"/>
  <c r="C27" i="82"/>
  <c r="C28" i="82" s="1"/>
  <c r="E109" i="40"/>
  <c r="F109" i="40"/>
  <c r="D109" i="40"/>
  <c r="I41" i="40"/>
  <c r="I34" i="40"/>
  <c r="I5" i="40"/>
  <c r="C88" i="9" l="1"/>
  <c r="I7" i="40" l="1"/>
  <c r="G41" i="40" l="1"/>
  <c r="G34" i="40"/>
  <c r="G7" i="40"/>
  <c r="G6" i="40"/>
  <c r="G5" i="40"/>
  <c r="E41" i="40"/>
  <c r="E34" i="40"/>
  <c r="C34" i="40"/>
  <c r="E66" i="40"/>
  <c r="F66" i="40" s="1"/>
  <c r="G66" i="40" s="1"/>
  <c r="H66" i="40" s="1"/>
  <c r="I66" i="40" s="1"/>
  <c r="J66" i="40" s="1"/>
  <c r="K66" i="40" s="1"/>
  <c r="L66" i="40" s="1"/>
  <c r="M66" i="40" s="1"/>
  <c r="N66" i="40" s="1"/>
  <c r="O66" i="40" s="1"/>
  <c r="D66" i="40"/>
  <c r="E7" i="40"/>
  <c r="E75" i="40"/>
  <c r="F75" i="40" s="1"/>
  <c r="G75" i="40" s="1"/>
  <c r="H75" i="40" s="1"/>
  <c r="D75" i="40"/>
  <c r="E5" i="40"/>
  <c r="I6" i="40"/>
  <c r="E6" i="40" s="1"/>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U21" i="21" s="1"/>
  <c r="F38" i="69"/>
  <c r="E37" i="69"/>
  <c r="F36" i="69"/>
  <c r="F35" i="69"/>
  <c r="F21" i="69"/>
  <c r="F40" i="69" s="1"/>
  <c r="F20" i="69"/>
  <c r="F39" i="69" s="1"/>
  <c r="E10" i="69"/>
  <c r="E9" i="69"/>
  <c r="C7" i="69"/>
  <c r="AC21" i="37"/>
  <c r="W21" i="37"/>
  <c r="AC21" i="34"/>
  <c r="W21" i="34"/>
  <c r="AC21" i="33"/>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D85" i="21"/>
  <c r="F19" i="21"/>
  <c r="AA19" i="21" s="1"/>
  <c r="E81" i="21"/>
  <c r="F81" i="21" s="1"/>
  <c r="G81" i="21" s="1"/>
  <c r="D77" i="21"/>
  <c r="E77" i="2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K8" i="1" s="1"/>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c r="AB19"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AA27" i="39" s="1"/>
  <c r="F11" i="21"/>
  <c r="S11" i="21" s="1"/>
  <c r="S40" i="21"/>
  <c r="U34" i="21"/>
  <c r="C25" i="39"/>
  <c r="S40" i="39"/>
  <c r="H32" i="33"/>
  <c r="AB32" i="33"/>
  <c r="H11" i="21"/>
  <c r="U11" i="21" s="1"/>
  <c r="J11" i="21"/>
  <c r="W11" i="21" s="1"/>
  <c r="H37" i="40"/>
  <c r="U37" i="40" s="1"/>
  <c r="F35" i="40"/>
  <c r="AA35"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c r="F15" i="40"/>
  <c r="S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AA14" i="39" s="1"/>
  <c r="H14" i="39"/>
  <c r="AB14" i="39" s="1"/>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S13" i="39" s="1"/>
  <c r="J13" i="39"/>
  <c r="W13" i="39" s="1"/>
  <c r="H13" i="39"/>
  <c r="U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U26" i="21"/>
  <c r="AC46" i="21"/>
  <c r="U12" i="21"/>
  <c r="F43" i="33"/>
  <c r="AA43" i="33"/>
  <c r="W15" i="34"/>
  <c r="AC15" i="34"/>
  <c r="W16" i="35"/>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F88" i="40"/>
  <c r="G88" i="40"/>
  <c r="F19" i="40"/>
  <c r="S19" i="40" s="1"/>
  <c r="S14" i="40"/>
  <c r="AC13" i="40"/>
  <c r="AB33" i="40"/>
  <c r="AC43" i="39"/>
  <c r="W43" i="39"/>
  <c r="U45" i="39"/>
  <c r="AB45" i="39"/>
  <c r="AB44" i="39"/>
  <c r="U44" i="39"/>
  <c r="G100" i="39"/>
  <c r="H37" i="39"/>
  <c r="AB37" i="39"/>
  <c r="AC37" i="39"/>
  <c r="W37" i="39"/>
  <c r="H25" i="39"/>
  <c r="AB25" i="39" s="1"/>
  <c r="J25" i="39"/>
  <c r="F25" i="39"/>
  <c r="AA25" i="39" s="1"/>
  <c r="H41" i="39"/>
  <c r="AB41" i="39" s="1"/>
  <c r="W27" i="39"/>
  <c r="AB34" i="39"/>
  <c r="U40" i="39"/>
  <c r="W9" i="39"/>
  <c r="W8" i="39"/>
  <c r="J19" i="40"/>
  <c r="AC19" i="40" s="1"/>
  <c r="J50" i="40"/>
  <c r="H103" i="9"/>
  <c r="D8" i="53" s="1"/>
  <c r="B16" i="53"/>
  <c r="B33" i="72" s="1"/>
  <c r="C7" i="37"/>
  <c r="C52" i="37" s="1"/>
  <c r="D52" i="37" s="1"/>
  <c r="C7" i="34"/>
  <c r="C7" i="36"/>
  <c r="W35" i="40"/>
  <c r="A118" i="9"/>
  <c r="A4" i="52"/>
  <c r="B41" i="72" s="1"/>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J51" i="67"/>
  <c r="C42" i="1"/>
  <c r="C24" i="12" s="1"/>
  <c r="AC34" i="33"/>
  <c r="AA34" i="33"/>
  <c r="B41" i="1"/>
  <c r="F48" i="9" s="1"/>
  <c r="O52" i="9" s="1"/>
  <c r="AB37" i="40"/>
  <c r="U35" i="40"/>
  <c r="W38" i="40"/>
  <c r="AA32" i="40"/>
  <c r="AB27" i="40"/>
  <c r="S30" i="40"/>
  <c r="AA19" i="40"/>
  <c r="S28" i="40"/>
  <c r="AA27" i="40"/>
  <c r="U37" i="39"/>
  <c r="S43" i="39"/>
  <c r="S37" i="39"/>
  <c r="U35" i="39"/>
  <c r="U25" i="39"/>
  <c r="W19" i="39"/>
  <c r="U19" i="39"/>
  <c r="S17"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36" i="21"/>
  <c r="W41" i="21"/>
  <c r="S39" i="21"/>
  <c r="AA36" i="21"/>
  <c r="AC40" i="21"/>
  <c r="J15" i="21"/>
  <c r="W15" i="21" s="1"/>
  <c r="F23" i="21"/>
  <c r="S23" i="21" s="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K7" i="1"/>
  <c r="G1" i="15"/>
  <c r="G1" i="69"/>
  <c r="G1" i="67"/>
  <c r="U32" i="40"/>
  <c r="AB31" i="40"/>
  <c r="AB28" i="40"/>
  <c r="W28" i="40"/>
  <c r="W27" i="40"/>
  <c r="AC14" i="40"/>
  <c r="S13" i="40"/>
  <c r="S33" i="40"/>
  <c r="U11" i="40"/>
  <c r="S31" i="40"/>
  <c r="AB13" i="40"/>
  <c r="U8" i="40"/>
  <c r="S8" i="40"/>
  <c r="AC41" i="39"/>
  <c r="U42" i="39"/>
  <c r="W25" i="39"/>
  <c r="AC25" i="39"/>
  <c r="AA13" i="39"/>
  <c r="S14" i="39"/>
  <c r="U43" i="39"/>
  <c r="AB43" i="39"/>
  <c r="W17" i="39"/>
  <c r="AC17" i="39"/>
  <c r="W31"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AA26" i="21"/>
  <c r="AB14" i="21"/>
  <c r="AB46" i="21"/>
  <c r="U40" i="21"/>
  <c r="AB31" i="21"/>
  <c r="U31" i="21"/>
  <c r="U13" i="21"/>
  <c r="AB13" i="21"/>
  <c r="S35" i="21"/>
  <c r="W39" i="21"/>
  <c r="AC14" i="21"/>
  <c r="W30" i="21"/>
  <c r="S46" i="21"/>
  <c r="H45" i="21"/>
  <c r="U45" i="21"/>
  <c r="F29" i="21"/>
  <c r="S29" i="21"/>
  <c r="F13" i="21"/>
  <c r="AA13" i="21"/>
  <c r="AC38" i="21"/>
  <c r="H32" i="21"/>
  <c r="U32" i="21" s="1"/>
  <c r="H9" i="21"/>
  <c r="J9" i="21"/>
  <c r="AC9" i="21" s="1"/>
  <c r="J32" i="21"/>
  <c r="W32" i="21" s="1"/>
  <c r="F32" i="21"/>
  <c r="S32" i="21" s="1"/>
  <c r="AA31" i="21"/>
  <c r="W29" i="21"/>
  <c r="S1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A23" i="21"/>
  <c r="J23" i="21"/>
  <c r="AC23" i="21" s="1"/>
  <c r="F85" i="21"/>
  <c r="G85" i="21"/>
  <c r="H23" i="21"/>
  <c r="S13" i="21"/>
  <c r="D6" i="52"/>
  <c r="AP7" i="1"/>
  <c r="AB45" i="21"/>
  <c r="AB9" i="21"/>
  <c r="U9"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H109" i="9"/>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15"/>
  <c r="F20" i="31"/>
  <c r="AO13" i="1"/>
  <c r="M28" i="15"/>
  <c r="F37" i="67"/>
  <c r="M29" i="83"/>
  <c r="L48" i="67"/>
  <c r="E10" i="76"/>
  <c r="F26" i="67"/>
  <c r="M26" i="15"/>
  <c r="C76" i="67"/>
  <c r="F36" i="67"/>
  <c r="F37" i="15"/>
  <c r="F40" i="15"/>
  <c r="L47" i="67"/>
  <c r="F9" i="67"/>
  <c r="F16" i="67"/>
  <c r="M22" i="15"/>
  <c r="F9" i="15"/>
  <c r="M6" i="67"/>
  <c r="M23" i="15"/>
  <c r="F26" i="15"/>
  <c r="E2" i="68"/>
  <c r="M8" i="67"/>
  <c r="F6" i="15"/>
  <c r="F13" i="15"/>
  <c r="B8" i="76"/>
  <c r="M6" i="15"/>
  <c r="M26" i="67"/>
  <c r="J15" i="67"/>
  <c r="M23" i="67"/>
  <c r="F5" i="73"/>
  <c r="E8" i="76"/>
  <c r="B10" i="76"/>
  <c r="L47" i="15"/>
  <c r="F3" i="73"/>
  <c r="M22" i="67"/>
  <c r="F8" i="67"/>
  <c r="E11" i="76"/>
  <c r="M29" i="67"/>
  <c r="E13" i="76"/>
  <c r="C76" i="15"/>
  <c r="F43" i="83"/>
  <c r="F7" i="83"/>
  <c r="F43" i="67"/>
  <c r="F42" i="15"/>
  <c r="J15" i="15"/>
  <c r="F38" i="67"/>
  <c r="M9" i="15"/>
  <c r="F7" i="73"/>
  <c r="M9" i="67"/>
  <c r="E2" i="69"/>
  <c r="F7" i="67"/>
  <c r="F42" i="67"/>
  <c r="F6" i="67"/>
  <c r="B12" i="76"/>
  <c r="F40" i="67"/>
  <c r="F13" i="67"/>
  <c r="F36" i="15"/>
  <c r="F4" i="73"/>
  <c r="B7" i="76"/>
  <c r="B11" i="76"/>
  <c r="F38" i="15"/>
  <c r="M8" i="15"/>
  <c r="F8" i="15"/>
  <c r="M28" i="67"/>
  <c r="E12" i="76"/>
  <c r="F16" i="15"/>
  <c r="E9" i="76"/>
  <c r="B13" i="76"/>
  <c r="M24" i="67"/>
  <c r="E7" i="76"/>
  <c r="M24" i="15"/>
  <c r="F6" i="73"/>
  <c r="B9" i="76"/>
  <c r="G13" i="3" l="1"/>
  <c r="E7" i="12"/>
  <c r="F50" i="83"/>
  <c r="C49" i="83" s="1"/>
  <c r="C61" i="83" s="1"/>
  <c r="M7" i="83"/>
  <c r="J6" i="83" s="1"/>
  <c r="C6" i="83"/>
  <c r="F71" i="83"/>
  <c r="M8" i="1"/>
  <c r="AH18" i="1"/>
  <c r="M7" i="1"/>
  <c r="C40" i="68"/>
  <c r="C40" i="69"/>
  <c r="M59" i="83"/>
  <c r="S21" i="21"/>
  <c r="W23" i="21"/>
  <c r="AC19" i="21"/>
  <c r="G79" i="21"/>
  <c r="F17" i="21"/>
  <c r="AA17" i="21" s="1"/>
  <c r="H17" i="21"/>
  <c r="J17" i="21"/>
  <c r="W17" i="21" s="1"/>
  <c r="AA15" i="21"/>
  <c r="H15" i="21"/>
  <c r="S17" i="21"/>
  <c r="AC17" i="21"/>
  <c r="B75" i="43"/>
  <c r="B57" i="43"/>
  <c r="C21" i="39"/>
  <c r="B69" i="43"/>
  <c r="B62" i="43"/>
  <c r="C15" i="39"/>
  <c r="C27" i="39"/>
  <c r="B73" i="43"/>
  <c r="B79" i="43"/>
  <c r="B76" i="43"/>
  <c r="C29" i="39"/>
  <c r="B68" i="43"/>
  <c r="B77" i="43"/>
  <c r="AC15" i="21"/>
  <c r="J42" i="21"/>
  <c r="AC42" i="21" s="1"/>
  <c r="G123" i="21"/>
  <c r="H123" i="21" s="1"/>
  <c r="I123" i="21" s="1"/>
  <c r="J123" i="21" s="1"/>
  <c r="K123" i="21" s="1"/>
  <c r="L123" i="21" s="1"/>
  <c r="M123" i="21" s="1"/>
  <c r="AB42" i="21"/>
  <c r="AB38" i="21"/>
  <c r="H113" i="21"/>
  <c r="H37" i="21"/>
  <c r="U37" i="21" s="1"/>
  <c r="J37" i="21"/>
  <c r="W37" i="21" s="1"/>
  <c r="F37" i="21"/>
  <c r="AA37" i="21" s="1"/>
  <c r="AC35" i="21"/>
  <c r="S37" i="21"/>
  <c r="W43" i="21"/>
  <c r="AB32" i="21"/>
  <c r="AA32" i="21"/>
  <c r="AB39" i="21"/>
  <c r="AA43" i="21"/>
  <c r="AC34" i="21"/>
  <c r="S34" i="21"/>
  <c r="AA38" i="21"/>
  <c r="AB36" i="21"/>
  <c r="S42" i="21"/>
  <c r="AB44" i="21"/>
  <c r="S44" i="21"/>
  <c r="W44" i="21"/>
  <c r="W9" i="21"/>
  <c r="AA41" i="39"/>
  <c r="AB39" i="39"/>
  <c r="F32" i="39"/>
  <c r="J32" i="39"/>
  <c r="F106" i="39"/>
  <c r="G106" i="39" s="1"/>
  <c r="H106" i="39" s="1"/>
  <c r="I106" i="39" s="1"/>
  <c r="J106" i="39" s="1"/>
  <c r="K106" i="39" s="1"/>
  <c r="L106" i="39" s="1"/>
  <c r="M106" i="39" s="1"/>
  <c r="H32" i="39"/>
  <c r="AB32" i="39" s="1"/>
  <c r="F104" i="39"/>
  <c r="G104" i="39" s="1"/>
  <c r="H104" i="39" s="1"/>
  <c r="I104" i="39" s="1"/>
  <c r="J104" i="39" s="1"/>
  <c r="K104" i="39" s="1"/>
  <c r="L104" i="39" s="1"/>
  <c r="M104" i="39" s="1"/>
  <c r="H31" i="39"/>
  <c r="S31" i="39"/>
  <c r="AB27" i="39"/>
  <c r="S27" i="39"/>
  <c r="S23" i="39"/>
  <c r="W23" i="39"/>
  <c r="F88" i="39"/>
  <c r="G88" i="39" s="1"/>
  <c r="F15" i="39"/>
  <c r="J15" i="39"/>
  <c r="W15" i="39" s="1"/>
  <c r="H15" i="39"/>
  <c r="U15" i="39" s="1"/>
  <c r="G94" i="39"/>
  <c r="F21" i="39"/>
  <c r="H21" i="39"/>
  <c r="J21" i="39"/>
  <c r="W21" i="39" s="1"/>
  <c r="S42" i="39"/>
  <c r="U41" i="39"/>
  <c r="AA39" i="39"/>
  <c r="U12" i="39"/>
  <c r="AB13" i="39"/>
  <c r="S9" i="39"/>
  <c r="U9" i="39"/>
  <c r="G20" i="3"/>
  <c r="G22" i="3"/>
  <c r="G24" i="3"/>
  <c r="G28" i="3"/>
  <c r="BL16" i="3"/>
  <c r="AZ16" i="3" s="1"/>
  <c r="BL15" i="3"/>
  <c r="AZ15" i="3" s="1"/>
  <c r="AZ33" i="3"/>
  <c r="BL21" i="3"/>
  <c r="BA25" i="3"/>
  <c r="BA27" i="3"/>
  <c r="BL27" i="3"/>
  <c r="AZ27" i="3" s="1"/>
  <c r="BL29" i="3"/>
  <c r="BA31" i="3"/>
  <c r="BA32" i="3"/>
  <c r="BH5" i="3"/>
  <c r="BL32" i="3"/>
  <c r="BL19" i="3"/>
  <c r="BL23" i="3"/>
  <c r="G29" i="6"/>
  <c r="G18" i="3"/>
  <c r="G19" i="3"/>
  <c r="BL22" i="3"/>
  <c r="AZ22" i="3" s="1"/>
  <c r="BL25" i="3"/>
  <c r="G26" i="3"/>
  <c r="BL30" i="3"/>
  <c r="G31" i="3"/>
  <c r="G27" i="6"/>
  <c r="F19" i="6"/>
  <c r="BD5" i="3"/>
  <c r="E10" i="6" s="1"/>
  <c r="BA22" i="3"/>
  <c r="BA24" i="3"/>
  <c r="AZ24" i="3" s="1"/>
  <c r="BA26" i="3"/>
  <c r="BA29" i="3"/>
  <c r="AZ29" i="3" s="1"/>
  <c r="BA30" i="3"/>
  <c r="G23" i="3"/>
  <c r="BQ5" i="3"/>
  <c r="F28" i="6" s="1"/>
  <c r="BA23" i="3"/>
  <c r="AZ23" i="3" s="1"/>
  <c r="AZ32" i="3"/>
  <c r="BM5" i="3"/>
  <c r="F29" i="6" s="1"/>
  <c r="BL31" i="3"/>
  <c r="AZ31" i="3" s="1"/>
  <c r="G30" i="3"/>
  <c r="BA28" i="3"/>
  <c r="AZ28" i="3" s="1"/>
  <c r="AZ30" i="3"/>
  <c r="BA21" i="3"/>
  <c r="AZ21" i="3" s="1"/>
  <c r="AZ26" i="3"/>
  <c r="AZ25" i="3"/>
  <c r="BB5" i="3"/>
  <c r="E5" i="6" s="1"/>
  <c r="D19" i="12" s="1"/>
  <c r="C19" i="12" s="1"/>
  <c r="G14" i="3"/>
  <c r="BA14" i="3"/>
  <c r="AZ14" i="3" s="1"/>
  <c r="E58" i="40"/>
  <c r="E19" i="6"/>
  <c r="C7" i="12" s="1"/>
  <c r="H69" i="43"/>
  <c r="H67" i="43"/>
  <c r="G6" i="1"/>
  <c r="I24" i="43"/>
  <c r="C24" i="43" s="1"/>
  <c r="J1" i="73"/>
  <c r="C21" i="68"/>
  <c r="S37" i="40"/>
  <c r="W34" i="40"/>
  <c r="H50" i="43"/>
  <c r="U25" i="40"/>
  <c r="J23" i="40"/>
  <c r="H23" i="40"/>
  <c r="F23" i="40"/>
  <c r="AA23" i="40" s="1"/>
  <c r="F92" i="40"/>
  <c r="G92" i="40" s="1"/>
  <c r="F21" i="40"/>
  <c r="AA21" i="40" s="1"/>
  <c r="F90" i="40"/>
  <c r="G90" i="40" s="1"/>
  <c r="J21" i="40"/>
  <c r="W21" i="40" s="1"/>
  <c r="H21" i="40"/>
  <c r="F17" i="40"/>
  <c r="F86" i="40"/>
  <c r="G86" i="40" s="1"/>
  <c r="H17" i="40"/>
  <c r="J17" i="40"/>
  <c r="H15" i="40"/>
  <c r="AB15" i="40" s="1"/>
  <c r="F84" i="40"/>
  <c r="G84" i="40" s="1"/>
  <c r="F36" i="40"/>
  <c r="J36" i="40"/>
  <c r="H113" i="40"/>
  <c r="I113" i="40" s="1"/>
  <c r="J113" i="40" s="1"/>
  <c r="K113" i="40" s="1"/>
  <c r="L113" i="40" s="1"/>
  <c r="M113" i="40" s="1"/>
  <c r="H36" i="40"/>
  <c r="W37" i="40"/>
  <c r="S35" i="40"/>
  <c r="U34" i="40"/>
  <c r="W25" i="40"/>
  <c r="S25" i="40"/>
  <c r="AC21" i="40"/>
  <c r="S21" i="40"/>
  <c r="AB19" i="40"/>
  <c r="W19" i="40"/>
  <c r="AC15" i="40"/>
  <c r="AA15" i="40"/>
  <c r="AA9" i="40"/>
  <c r="AC9" i="40"/>
  <c r="AC11" i="40"/>
  <c r="BA19" i="3"/>
  <c r="AZ19" i="3" s="1"/>
  <c r="BA18" i="3"/>
  <c r="AZ18" i="3" s="1"/>
  <c r="BA20" i="3"/>
  <c r="AZ20" i="3" s="1"/>
  <c r="BL5" i="3"/>
  <c r="G28" i="6"/>
  <c r="E28" i="6" s="1"/>
  <c r="K14" i="1"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I4" i="6"/>
  <c r="G3" i="43" s="1"/>
  <c r="H26" i="43"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11" i="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3" i="73"/>
  <c r="D6" i="73"/>
  <c r="M29" i="15"/>
  <c r="C16" i="67"/>
  <c r="D7" i="73"/>
  <c r="C16" i="83"/>
  <c r="F43" i="15"/>
  <c r="C16" i="15"/>
  <c r="F7" i="15"/>
  <c r="D5" i="73"/>
  <c r="D4" i="73"/>
  <c r="J18" i="83" l="1"/>
  <c r="J19" i="83"/>
  <c r="O7" i="1"/>
  <c r="P7" i="1" s="1"/>
  <c r="C33" i="83"/>
  <c r="C32" i="83"/>
  <c r="M11" i="83"/>
  <c r="J10" i="83" s="1"/>
  <c r="J5" i="83" s="1"/>
  <c r="F11" i="83"/>
  <c r="AB17" i="21"/>
  <c r="U17" i="21"/>
  <c r="U15" i="21"/>
  <c r="AB15" i="21"/>
  <c r="W42" i="21"/>
  <c r="AC37" i="21"/>
  <c r="AC32" i="39"/>
  <c r="W32" i="39"/>
  <c r="U32" i="39"/>
  <c r="S32" i="39"/>
  <c r="AA32" i="39"/>
  <c r="AB31" i="39"/>
  <c r="U31" i="39"/>
  <c r="AA15" i="39"/>
  <c r="S15" i="39"/>
  <c r="S21" i="39"/>
  <c r="AA21" i="39"/>
  <c r="U21" i="39"/>
  <c r="AB21" i="39"/>
  <c r="D9" i="69"/>
  <c r="C9" i="69" s="1"/>
  <c r="D9" i="11"/>
  <c r="C9" i="11" s="1"/>
  <c r="G5" i="3"/>
  <c r="B3" i="3" s="1"/>
  <c r="N370" i="46"/>
  <c r="E14" i="6"/>
  <c r="AZ5" i="3"/>
  <c r="AY6" i="3" s="1"/>
  <c r="G30" i="6"/>
  <c r="G31" i="6" s="1"/>
  <c r="F30" i="6"/>
  <c r="K6" i="1"/>
  <c r="AP6" i="1" s="1"/>
  <c r="C36" i="69" s="1"/>
  <c r="E32" i="6"/>
  <c r="D9" i="68"/>
  <c r="C9" i="68" s="1"/>
  <c r="E13" i="6"/>
  <c r="E62" i="39" s="1"/>
  <c r="E11" i="6"/>
  <c r="E60" i="39" s="1"/>
  <c r="E12" i="6"/>
  <c r="E57" i="40" s="1"/>
  <c r="F26" i="43"/>
  <c r="G26" i="43"/>
  <c r="E518" i="3"/>
  <c r="N94" i="46"/>
  <c r="E26" i="43"/>
  <c r="J26" i="43"/>
  <c r="E586" i="3"/>
  <c r="O6" i="3"/>
  <c r="E285" i="3"/>
  <c r="E29" i="6"/>
  <c r="K15" i="1" s="1"/>
  <c r="E201" i="3"/>
  <c r="E306" i="3"/>
  <c r="F71" i="15"/>
  <c r="M7" i="15"/>
  <c r="J6" i="15" s="1"/>
  <c r="J18" i="15" s="1"/>
  <c r="C6" i="15"/>
  <c r="C32" i="15" s="1"/>
  <c r="F50" i="15"/>
  <c r="C49" i="15" s="1"/>
  <c r="E30" i="3"/>
  <c r="U6" i="3"/>
  <c r="S23" i="40"/>
  <c r="AB23" i="40"/>
  <c r="U23" i="40"/>
  <c r="AC23" i="40"/>
  <c r="W23" i="40"/>
  <c r="AB21" i="40"/>
  <c r="U21" i="40"/>
  <c r="W17" i="40"/>
  <c r="AC17" i="40"/>
  <c r="U17" i="40"/>
  <c r="AB17" i="40"/>
  <c r="AA17" i="40"/>
  <c r="S17" i="40"/>
  <c r="U15" i="40"/>
  <c r="AB36" i="40"/>
  <c r="U36" i="40"/>
  <c r="W36" i="40"/>
  <c r="AC36" i="40"/>
  <c r="S36" i="40"/>
  <c r="AA36" i="40"/>
  <c r="E122" i="3"/>
  <c r="E111" i="3"/>
  <c r="E85" i="3"/>
  <c r="E345" i="3"/>
  <c r="E368" i="3"/>
  <c r="E106" i="3"/>
  <c r="E560" i="3"/>
  <c r="E568" i="3"/>
  <c r="BA5" i="3"/>
  <c r="E27" i="6" s="1"/>
  <c r="K26" i="6" s="1"/>
  <c r="M26" i="6" s="1"/>
  <c r="I26" i="6" s="1"/>
  <c r="S26" i="6" s="1"/>
  <c r="E329" i="3"/>
  <c r="E564" i="3"/>
  <c r="E376" i="3"/>
  <c r="E40" i="3"/>
  <c r="E276" i="3"/>
  <c r="E473" i="3"/>
  <c r="E430" i="3"/>
  <c r="E37" i="3"/>
  <c r="E363" i="3"/>
  <c r="E425" i="3"/>
  <c r="E103" i="3"/>
  <c r="E267" i="3"/>
  <c r="E310" i="3"/>
  <c r="E67" i="3"/>
  <c r="E233" i="3"/>
  <c r="E51" i="3"/>
  <c r="E165" i="3"/>
  <c r="E566" i="3"/>
  <c r="E348" i="3"/>
  <c r="E100" i="3"/>
  <c r="E325" i="3"/>
  <c r="E289" i="3"/>
  <c r="E62" i="3"/>
  <c r="E365" i="3"/>
  <c r="E312" i="3"/>
  <c r="E520" i="3"/>
  <c r="E110" i="3"/>
  <c r="E129" i="3"/>
  <c r="E235" i="3"/>
  <c r="E522" i="3"/>
  <c r="E206" i="3"/>
  <c r="E68" i="3"/>
  <c r="E264" i="3"/>
  <c r="E21" i="3"/>
  <c r="D18" i="53"/>
  <c r="B35" i="72"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72" i="43"/>
  <c r="B70" i="43" s="1"/>
  <c r="E60" i="40"/>
  <c r="F31" i="6"/>
  <c r="E51" i="40"/>
  <c r="M14" i="1"/>
  <c r="D5" i="43"/>
  <c r="C7" i="43"/>
  <c r="C5" i="43" s="1"/>
  <c r="D10" i="52"/>
  <c r="D125" i="9"/>
  <c r="D11" i="52" s="1"/>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12" i="1"/>
  <c r="AE10" i="1"/>
  <c r="AE6" i="1"/>
  <c r="AE7" i="1"/>
  <c r="AE8" i="1"/>
  <c r="G1" i="73"/>
  <c r="F41" i="67"/>
  <c r="E3" i="6" l="1"/>
  <c r="C33" i="21" s="1"/>
  <c r="E16" i="6"/>
  <c r="E63" i="39"/>
  <c r="E65" i="39" s="1"/>
  <c r="E59" i="40"/>
  <c r="E91" i="3"/>
  <c r="E359" i="3"/>
  <c r="E347" i="3"/>
  <c r="E231" i="3"/>
  <c r="E237" i="3"/>
  <c r="E535" i="3"/>
  <c r="E335" i="3"/>
  <c r="E555" i="3"/>
  <c r="M6" i="3"/>
  <c r="E509" i="3"/>
  <c r="E53" i="3"/>
  <c r="E476" i="3"/>
  <c r="E316" i="3"/>
  <c r="E403" i="3"/>
  <c r="E357" i="3"/>
  <c r="E157" i="3"/>
  <c r="E515" i="3"/>
  <c r="E318" i="3"/>
  <c r="E571" i="3"/>
  <c r="E45" i="3"/>
  <c r="E182" i="3"/>
  <c r="E531" i="3"/>
  <c r="E485" i="3"/>
  <c r="E204" i="3"/>
  <c r="E74" i="3"/>
  <c r="E171" i="3"/>
  <c r="E468" i="3"/>
  <c r="E406" i="3"/>
  <c r="E133" i="3"/>
  <c r="E545" i="3"/>
  <c r="E188" i="3"/>
  <c r="E393" i="3"/>
  <c r="E427" i="3"/>
  <c r="E440" i="3"/>
  <c r="J6" i="3"/>
  <c r="E401" i="3"/>
  <c r="E108" i="3"/>
  <c r="E242" i="3"/>
  <c r="E333" i="3"/>
  <c r="E43" i="3"/>
  <c r="E536" i="3"/>
  <c r="E502" i="3"/>
  <c r="AP6" i="3"/>
  <c r="E479" i="3"/>
  <c r="E152" i="3"/>
  <c r="E241" i="3"/>
  <c r="E389" i="3"/>
  <c r="E409" i="3"/>
  <c r="E467" i="3"/>
  <c r="E46" i="3"/>
  <c r="E160" i="3"/>
  <c r="E200" i="3"/>
  <c r="E249" i="3"/>
  <c r="E371" i="3"/>
  <c r="E492" i="3"/>
  <c r="E84" i="3"/>
  <c r="E33" i="3"/>
  <c r="E184" i="3"/>
  <c r="E355" i="3"/>
  <c r="E251" i="3"/>
  <c r="E154" i="3"/>
  <c r="E373" i="3"/>
  <c r="E141" i="3"/>
  <c r="E398" i="3"/>
  <c r="E460" i="3"/>
  <c r="E155" i="3"/>
  <c r="E58" i="3"/>
  <c r="E79" i="3"/>
  <c r="E137" i="3"/>
  <c r="E299" i="3"/>
  <c r="AQ6" i="3"/>
  <c r="E123" i="3"/>
  <c r="E364" i="3"/>
  <c r="E20" i="3"/>
  <c r="E176" i="3"/>
  <c r="E265" i="3"/>
  <c r="E524" i="3"/>
  <c r="E244" i="3"/>
  <c r="E421" i="3"/>
  <c r="E500" i="3"/>
  <c r="E57" i="3"/>
  <c r="E378" i="3"/>
  <c r="E412" i="3"/>
  <c r="F33" i="21"/>
  <c r="H33" i="21"/>
  <c r="J33" i="21"/>
  <c r="E309" i="3"/>
  <c r="E81" i="3"/>
  <c r="E370" i="3"/>
  <c r="E86" i="3"/>
  <c r="E383" i="3"/>
  <c r="E174" i="3"/>
  <c r="E96" i="3"/>
  <c r="E240" i="3"/>
  <c r="E416" i="3"/>
  <c r="E101" i="3"/>
  <c r="E218" i="3"/>
  <c r="E50" i="3"/>
  <c r="E36" i="3"/>
  <c r="E234" i="3"/>
  <c r="E521" i="3"/>
  <c r="E90" i="3"/>
  <c r="E552" i="3"/>
  <c r="E222" i="3"/>
  <c r="E220" i="3"/>
  <c r="E144" i="3"/>
  <c r="E23" i="3"/>
  <c r="E300" i="3"/>
  <c r="E142" i="3"/>
  <c r="E64" i="3"/>
  <c r="E76" i="3"/>
  <c r="E192" i="3"/>
  <c r="E491" i="3"/>
  <c r="E286" i="3"/>
  <c r="L6" i="3"/>
  <c r="E119" i="3"/>
  <c r="E419" i="3"/>
  <c r="E507" i="3"/>
  <c r="E116" i="3"/>
  <c r="E228" i="3"/>
  <c r="E587" i="3"/>
  <c r="E315" i="3"/>
  <c r="Z6" i="3"/>
  <c r="E28" i="3"/>
  <c r="E458" i="3"/>
  <c r="E269" i="3"/>
  <c r="W6" i="3"/>
  <c r="E126" i="3"/>
  <c r="E474" i="3"/>
  <c r="E526" i="3"/>
  <c r="E278" i="3"/>
  <c r="E159" i="3"/>
  <c r="B40" i="1"/>
  <c r="F24" i="83" s="1"/>
  <c r="C53" i="83"/>
  <c r="C48" i="83" s="1"/>
  <c r="C10" i="83"/>
  <c r="C5" i="83" s="1"/>
  <c r="J24" i="83"/>
  <c r="J26" i="83"/>
  <c r="D26" i="43"/>
  <c r="C25" i="43" s="1"/>
  <c r="K16" i="1"/>
  <c r="K20" i="1" s="1"/>
  <c r="E77" i="3"/>
  <c r="AI6" i="3"/>
  <c r="E246" i="3"/>
  <c r="X6" i="3"/>
  <c r="E382" i="3"/>
  <c r="E583" i="3"/>
  <c r="E293" i="3"/>
  <c r="E578" i="3"/>
  <c r="E503" i="3"/>
  <c r="E523" i="3"/>
  <c r="E380" i="3"/>
  <c r="AA6" i="3"/>
  <c r="E280" i="3"/>
  <c r="E353" i="3"/>
  <c r="AN6" i="3"/>
  <c r="E423" i="3"/>
  <c r="E134" i="3"/>
  <c r="E361" i="3"/>
  <c r="E185" i="3"/>
  <c r="E418" i="3"/>
  <c r="E426" i="3"/>
  <c r="E350" i="3"/>
  <c r="E301" i="3"/>
  <c r="E254" i="3"/>
  <c r="E302" i="3"/>
  <c r="E213" i="3"/>
  <c r="E304" i="3"/>
  <c r="E169" i="3"/>
  <c r="E321" i="3"/>
  <c r="E506" i="3"/>
  <c r="E97" i="3"/>
  <c r="E501" i="3"/>
  <c r="E61" i="3"/>
  <c r="E290" i="3"/>
  <c r="E117" i="3"/>
  <c r="E550" i="3"/>
  <c r="E260" i="3"/>
  <c r="E395" i="3"/>
  <c r="E415" i="3"/>
  <c r="E114" i="3"/>
  <c r="E130" i="3"/>
  <c r="E230" i="3"/>
  <c r="E294" i="3"/>
  <c r="E320" i="3"/>
  <c r="E538" i="3"/>
  <c r="AR6" i="3"/>
  <c r="E270" i="3"/>
  <c r="E574" i="3"/>
  <c r="E153" i="3"/>
  <c r="E143" i="3"/>
  <c r="E410" i="3"/>
  <c r="E388" i="3"/>
  <c r="E305" i="3"/>
  <c r="E530" i="3"/>
  <c r="E29" i="3"/>
  <c r="E432" i="3"/>
  <c r="E475" i="3"/>
  <c r="E407" i="3"/>
  <c r="V6" i="3"/>
  <c r="E551" i="3"/>
  <c r="E559" i="3"/>
  <c r="E358" i="3"/>
  <c r="E151" i="3"/>
  <c r="E229" i="3"/>
  <c r="E396" i="3"/>
  <c r="E569" i="3"/>
  <c r="E516" i="3"/>
  <c r="E239" i="3"/>
  <c r="N6" i="3"/>
  <c r="E282" i="3"/>
  <c r="E553" i="3"/>
  <c r="E366" i="3"/>
  <c r="E125" i="3"/>
  <c r="E447" i="3"/>
  <c r="E532" i="3"/>
  <c r="AM6" i="3"/>
  <c r="E162" i="3"/>
  <c r="E379" i="3"/>
  <c r="E288" i="3"/>
  <c r="E441" i="3"/>
  <c r="E384" i="3"/>
  <c r="E210" i="3"/>
  <c r="E27" i="3"/>
  <c r="E505" i="3"/>
  <c r="E207" i="3"/>
  <c r="E168" i="3"/>
  <c r="E385" i="3"/>
  <c r="E336" i="3"/>
  <c r="E245" i="3"/>
  <c r="E261" i="3"/>
  <c r="E399" i="3"/>
  <c r="E495" i="3"/>
  <c r="E263" i="3"/>
  <c r="E528" i="3"/>
  <c r="E390" i="3"/>
  <c r="E303" i="3"/>
  <c r="E221" i="3"/>
  <c r="E565" i="3"/>
  <c r="E298" i="3"/>
  <c r="S6" i="3"/>
  <c r="E191" i="3"/>
  <c r="E161" i="3"/>
  <c r="E445" i="3"/>
  <c r="E563" i="3"/>
  <c r="E69" i="3"/>
  <c r="E215" i="3"/>
  <c r="E439" i="3"/>
  <c r="E533" i="3"/>
  <c r="E328" i="3"/>
  <c r="E337" i="3"/>
  <c r="E508" i="3"/>
  <c r="E175" i="3"/>
  <c r="E272" i="3"/>
  <c r="AB6" i="3"/>
  <c r="E570" i="3"/>
  <c r="E311" i="3"/>
  <c r="E247" i="3"/>
  <c r="E579" i="3"/>
  <c r="AJ6" i="3"/>
  <c r="E268" i="3"/>
  <c r="E217" i="3"/>
  <c r="E397" i="3"/>
  <c r="E291" i="3"/>
  <c r="E257" i="3"/>
  <c r="E44" i="3"/>
  <c r="E186" i="3"/>
  <c r="E411" i="3"/>
  <c r="E537" i="3"/>
  <c r="E224" i="3"/>
  <c r="E109" i="3"/>
  <c r="E572" i="3"/>
  <c r="E377" i="3"/>
  <c r="E273" i="3"/>
  <c r="E211" i="3"/>
  <c r="E92" i="3"/>
  <c r="E546" i="3"/>
  <c r="E547" i="3"/>
  <c r="E548" i="3"/>
  <c r="E145" i="3"/>
  <c r="E93" i="3"/>
  <c r="E208" i="3"/>
  <c r="E471" i="3"/>
  <c r="E438" i="3"/>
  <c r="E313" i="3"/>
  <c r="E352" i="3"/>
  <c r="E477" i="3"/>
  <c r="E478" i="3"/>
  <c r="E585" i="3"/>
  <c r="E271" i="3"/>
  <c r="E549" i="3"/>
  <c r="E31" i="3"/>
  <c r="E351" i="3"/>
  <c r="E150" i="3"/>
  <c r="E72" i="3"/>
  <c r="E450" i="3"/>
  <c r="E562" i="3"/>
  <c r="E527" i="3"/>
  <c r="E573" i="3"/>
  <c r="E193" i="3"/>
  <c r="E99" i="3"/>
  <c r="E314" i="3"/>
  <c r="E453"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539" i="3"/>
  <c r="E148" i="3"/>
  <c r="E199" i="3"/>
  <c r="E575" i="3"/>
  <c r="R6" i="3"/>
  <c r="E442" i="3"/>
  <c r="E541" i="3"/>
  <c r="E449" i="3"/>
  <c r="I3" i="6"/>
  <c r="E554" i="3"/>
  <c r="E435" i="3"/>
  <c r="G16" i="1"/>
  <c r="J10" i="40" s="1"/>
  <c r="AC10" i="40" s="1"/>
  <c r="E513" i="3"/>
  <c r="E283" i="3"/>
  <c r="E118" i="3"/>
  <c r="E63" i="3"/>
  <c r="Y6" i="3"/>
  <c r="E232" i="3"/>
  <c r="E34" i="3"/>
  <c r="E35" i="3"/>
  <c r="E342" i="3"/>
  <c r="E324" i="3"/>
  <c r="E275" i="3"/>
  <c r="E190" i="3"/>
  <c r="E78" i="3"/>
  <c r="E18" i="3"/>
  <c r="E462" i="3"/>
  <c r="E504" i="3"/>
  <c r="E259" i="3"/>
  <c r="E187" i="3"/>
  <c r="E39" i="3"/>
  <c r="E413" i="3"/>
  <c r="E374" i="3"/>
  <c r="E487" i="3"/>
  <c r="E542" i="3"/>
  <c r="E167" i="3"/>
  <c r="E83" i="3"/>
  <c r="E22" i="3"/>
  <c r="E326" i="3"/>
  <c r="E308" i="3"/>
  <c r="E287" i="3"/>
  <c r="E158" i="3"/>
  <c r="E113" i="3"/>
  <c r="E80" i="3"/>
  <c r="E102" i="3"/>
  <c r="AF6" i="3"/>
  <c r="E340" i="3"/>
  <c r="E147" i="3"/>
  <c r="E112" i="3"/>
  <c r="E52" i="3"/>
  <c r="E392" i="3"/>
  <c r="E339" i="3"/>
  <c r="E219" i="3"/>
  <c r="E194" i="3"/>
  <c r="E170" i="3"/>
  <c r="E38" i="3"/>
  <c r="E455" i="3"/>
  <c r="E488" i="3"/>
  <c r="E375" i="3"/>
  <c r="E297" i="3"/>
  <c r="E131" i="3"/>
  <c r="E436" i="3"/>
  <c r="E582" i="3"/>
  <c r="E459" i="3"/>
  <c r="E464" i="3"/>
  <c r="AD6" i="3"/>
  <c r="E149" i="3"/>
  <c r="E82" i="3"/>
  <c r="E323" i="3"/>
  <c r="E179" i="3"/>
  <c r="E19" i="3"/>
  <c r="E381" i="3"/>
  <c r="E49" i="3"/>
  <c r="E341" i="3"/>
  <c r="E284" i="3"/>
  <c r="E250" i="3"/>
  <c r="E127" i="3"/>
  <c r="E87" i="3"/>
  <c r="E48" i="3"/>
  <c r="E24" i="3"/>
  <c r="E66" i="3"/>
  <c r="E584" i="3"/>
  <c r="E354" i="3"/>
  <c r="E386" i="3"/>
  <c r="E307" i="3"/>
  <c r="E266" i="3"/>
  <c r="E209" i="3"/>
  <c r="E248" i="3"/>
  <c r="E163" i="3"/>
  <c r="E195" i="3"/>
  <c r="E138" i="3"/>
  <c r="E65" i="3"/>
  <c r="E98" i="3"/>
  <c r="E47" i="3"/>
  <c r="E446" i="3"/>
  <c r="E484" i="3"/>
  <c r="E59" i="3"/>
  <c r="E544" i="3"/>
  <c r="E349" i="3"/>
  <c r="E292" i="3"/>
  <c r="E258" i="3"/>
  <c r="E132" i="3"/>
  <c r="E95" i="3"/>
  <c r="E56" i="3"/>
  <c r="E417" i="3"/>
  <c r="E517" i="3"/>
  <c r="E255" i="3"/>
  <c r="E466" i="3"/>
  <c r="E499" i="3"/>
  <c r="E212" i="3"/>
  <c r="E15" i="3"/>
  <c r="E540" i="3"/>
  <c r="E60" i="3"/>
  <c r="E372" i="3"/>
  <c r="E346" i="3"/>
  <c r="E226" i="3"/>
  <c r="E202" i="3"/>
  <c r="E178" i="3"/>
  <c r="E25" i="3"/>
  <c r="E463" i="3"/>
  <c r="E483" i="3"/>
  <c r="E498" i="3"/>
  <c r="AH6" i="3"/>
  <c r="E490" i="3"/>
  <c r="E422" i="3"/>
  <c r="E486" i="3"/>
  <c r="E543" i="3"/>
  <c r="E493" i="3"/>
  <c r="E105" i="3"/>
  <c r="E223" i="3"/>
  <c r="E16" i="3"/>
  <c r="E181" i="3"/>
  <c r="AK6" i="3"/>
  <c r="E277" i="3"/>
  <c r="K6" i="3"/>
  <c r="H6" i="3" s="1"/>
  <c r="E472" i="3"/>
  <c r="E465" i="3"/>
  <c r="E577" i="3"/>
  <c r="E454" i="3"/>
  <c r="E146" i="3"/>
  <c r="E214" i="3"/>
  <c r="E362" i="3"/>
  <c r="E227" i="3"/>
  <c r="E89" i="3"/>
  <c r="E327" i="3"/>
  <c r="AO6" i="3"/>
  <c r="E400" i="3"/>
  <c r="E557" i="3"/>
  <c r="E489" i="3"/>
  <c r="E70" i="3"/>
  <c r="E253" i="3"/>
  <c r="E511" i="3"/>
  <c r="E519" i="3"/>
  <c r="E457" i="3"/>
  <c r="E433" i="3"/>
  <c r="E279" i="3"/>
  <c r="E567" i="3"/>
  <c r="E107" i="3"/>
  <c r="E414" i="3"/>
  <c r="E461" i="3"/>
  <c r="E529" i="3"/>
  <c r="E54" i="3"/>
  <c r="E196" i="3"/>
  <c r="E367" i="3"/>
  <c r="E71" i="3"/>
  <c r="E295" i="3"/>
  <c r="E334" i="3"/>
  <c r="E480" i="3"/>
  <c r="E136" i="3"/>
  <c r="E14" i="3"/>
  <c r="E331" i="3"/>
  <c r="AS6" i="3"/>
  <c r="E317" i="3"/>
  <c r="E322" i="3"/>
  <c r="E431" i="3"/>
  <c r="E514" i="3"/>
  <c r="E387" i="3"/>
  <c r="E343" i="3"/>
  <c r="E319" i="3"/>
  <c r="E561" i="3"/>
  <c r="E189" i="3"/>
  <c r="E172" i="3"/>
  <c r="E135" i="3"/>
  <c r="E338" i="3"/>
  <c r="E17" i="3"/>
  <c r="E402" i="3"/>
  <c r="E180" i="3"/>
  <c r="E124" i="3"/>
  <c r="E216" i="3"/>
  <c r="E183" i="3"/>
  <c r="L19" i="6"/>
  <c r="L27" i="6" s="1"/>
  <c r="H10" i="40"/>
  <c r="AB10" i="40" s="1"/>
  <c r="M6" i="1"/>
  <c r="Q16" i="1"/>
  <c r="H16" i="1"/>
  <c r="J5" i="15"/>
  <c r="J24" i="15" s="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M27" i="83"/>
  <c r="F41" i="15"/>
  <c r="F41" i="83"/>
  <c r="M27" i="67"/>
  <c r="M27" i="15"/>
  <c r="AC6" i="3" l="1"/>
  <c r="C8" i="68"/>
  <c r="H38" i="39"/>
  <c r="J38" i="39"/>
  <c r="F38" i="39"/>
  <c r="AC33" i="21"/>
  <c r="W33" i="21"/>
  <c r="AA33" i="21"/>
  <c r="S33" i="21"/>
  <c r="AB33" i="21"/>
  <c r="U33" i="21"/>
  <c r="F22" i="11"/>
  <c r="C23" i="11" s="1"/>
  <c r="F24" i="15"/>
  <c r="C24" i="15" s="1"/>
  <c r="F22" i="69"/>
  <c r="F41" i="69" s="1"/>
  <c r="F22" i="68"/>
  <c r="C26" i="68" s="1"/>
  <c r="D22" i="68" s="1"/>
  <c r="F24" i="67"/>
  <c r="C24" i="67" s="1"/>
  <c r="F25" i="12"/>
  <c r="C26" i="12" s="1"/>
  <c r="D25" i="12" s="1"/>
  <c r="U10" i="40"/>
  <c r="L36" i="43"/>
  <c r="M36" i="43" s="1"/>
  <c r="F69" i="83"/>
  <c r="J29" i="83"/>
  <c r="C66" i="83"/>
  <c r="C60" i="83"/>
  <c r="C38" i="83"/>
  <c r="C24" i="83"/>
  <c r="O6" i="1"/>
  <c r="P6" i="1" s="1"/>
  <c r="C13" i="12" s="1"/>
  <c r="E6" i="3"/>
  <c r="F10" i="39"/>
  <c r="H10" i="39"/>
  <c r="J10" i="39"/>
  <c r="W10" i="40"/>
  <c r="F10" i="40"/>
  <c r="M16" i="1"/>
  <c r="N16" i="1" s="1"/>
  <c r="F34" i="68" s="1"/>
  <c r="C36" i="68" s="1"/>
  <c r="F27" i="69"/>
  <c r="F27" i="11"/>
  <c r="F27" i="68"/>
  <c r="F28" i="12"/>
  <c r="C29" i="12" s="1"/>
  <c r="D28" i="12" s="1"/>
  <c r="D116" i="43"/>
  <c r="B14" i="74"/>
  <c r="B1" i="7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H21" i="6"/>
  <c r="D19" i="6"/>
  <c r="M19" i="9" s="1"/>
  <c r="C118" i="9" s="1"/>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66" i="67"/>
  <c r="C60" i="67"/>
  <c r="D10" i="69"/>
  <c r="C34" i="69"/>
  <c r="D10" i="68"/>
  <c r="C14" i="67"/>
  <c r="C17" i="67"/>
  <c r="C17" i="83"/>
  <c r="C17" i="15"/>
  <c r="C24" i="11" l="1"/>
  <c r="C44" i="11"/>
  <c r="D41" i="11" s="1"/>
  <c r="C28" i="11"/>
  <c r="C27" i="11" s="1"/>
  <c r="E7" i="70"/>
  <c r="O16" i="1"/>
  <c r="W38" i="39"/>
  <c r="AC38" i="39"/>
  <c r="AA38" i="39"/>
  <c r="S38" i="39"/>
  <c r="AB38" i="39"/>
  <c r="U38" i="39"/>
  <c r="C26" i="11"/>
  <c r="D22" i="11" s="1"/>
  <c r="C44" i="69"/>
  <c r="D41" i="69" s="1"/>
  <c r="C44" i="68"/>
  <c r="D41" i="68" s="1"/>
  <c r="C26" i="69"/>
  <c r="D22" i="69" s="1"/>
  <c r="N36" i="43"/>
  <c r="O36" i="43"/>
  <c r="Q36" i="43"/>
  <c r="P36" i="43"/>
  <c r="L37" i="43"/>
  <c r="J59" i="83"/>
  <c r="J60" i="83" s="1"/>
  <c r="S10" i="40"/>
  <c r="AA10" i="40"/>
  <c r="W10" i="39"/>
  <c r="AC10" i="39"/>
  <c r="S10" i="39"/>
  <c r="AA10" i="39"/>
  <c r="U10" i="39"/>
  <c r="AB10" i="39"/>
  <c r="C29" i="11"/>
  <c r="D27" i="11" s="1"/>
  <c r="C47" i="11"/>
  <c r="D45" i="11" s="1"/>
  <c r="F45" i="68"/>
  <c r="C29" i="68"/>
  <c r="D27" i="68" s="1"/>
  <c r="C47" i="68"/>
  <c r="D45" i="68" s="1"/>
  <c r="C47" i="69"/>
  <c r="D45" i="69" s="1"/>
  <c r="C29" i="69"/>
  <c r="D27" i="69" s="1"/>
  <c r="F45" i="69"/>
  <c r="D30" i="6"/>
  <c r="H24" i="6"/>
  <c r="R24" i="6" s="1"/>
  <c r="R11" i="1" s="1"/>
  <c r="H22" i="6"/>
  <c r="H25" i="6"/>
  <c r="R25" i="6" s="1"/>
  <c r="R12" i="1" s="1"/>
  <c r="C14" i="74"/>
  <c r="B2" i="74" s="1"/>
  <c r="C25" i="11"/>
  <c r="C22" i="1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R21" i="6"/>
  <c r="R8" i="1" s="1"/>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C14" i="83"/>
  <c r="C14" i="15"/>
  <c r="F35" i="83"/>
  <c r="M21" i="83"/>
  <c r="B6" i="76"/>
  <c r="C18" i="83" l="1"/>
  <c r="C15" i="83"/>
  <c r="P37" i="43"/>
  <c r="Q37" i="43"/>
  <c r="N37" i="43"/>
  <c r="M37" i="43"/>
  <c r="O37" i="43"/>
  <c r="J20" i="83"/>
  <c r="J17" i="83" s="1"/>
  <c r="F63" i="83"/>
  <c r="C62" i="83" s="1"/>
  <c r="C59" i="83" s="1"/>
  <c r="C34" i="83"/>
  <c r="C31" i="83" s="1"/>
  <c r="Q48" i="83"/>
  <c r="L46" i="83"/>
  <c r="C31" i="11"/>
  <c r="D8" i="71"/>
  <c r="C7" i="71"/>
  <c r="C19" i="67"/>
  <c r="C20" i="67" s="1"/>
  <c r="C26" i="67" s="1"/>
  <c r="T16" i="1"/>
  <c r="C18" i="15"/>
  <c r="C15" i="15"/>
  <c r="C38" i="68"/>
  <c r="C35" i="68"/>
  <c r="C36" i="11"/>
  <c r="C37" i="11"/>
  <c r="C34" i="11"/>
  <c r="C14" i="12"/>
  <c r="C16" i="12" s="1"/>
  <c r="C21" i="12" s="1"/>
  <c r="C22" i="12" s="1"/>
  <c r="H19" i="6"/>
  <c r="L19" i="9" s="1"/>
  <c r="S19" i="6"/>
  <c r="S27" i="6" s="1"/>
  <c r="I27" i="6"/>
  <c r="C19" i="68"/>
  <c r="D37" i="68"/>
  <c r="C37" i="68" s="1"/>
  <c r="C19" i="69"/>
  <c r="C24" i="69" s="1"/>
  <c r="D37" i="69"/>
  <c r="C37" i="69" s="1"/>
  <c r="C33" i="69" s="1"/>
  <c r="I5" i="6"/>
  <c r="I6" i="6"/>
  <c r="I7" i="6" s="1"/>
  <c r="C11" i="39" s="1"/>
  <c r="C23" i="69"/>
  <c r="E2" i="76"/>
  <c r="B2" i="76"/>
  <c r="I69" i="39"/>
  <c r="J67" i="39"/>
  <c r="D9" i="71"/>
  <c r="I63" i="40"/>
  <c r="H65" i="40"/>
  <c r="I58" i="21"/>
  <c r="J58" i="21" s="1"/>
  <c r="K58" i="21" s="1"/>
  <c r="L58" i="21" s="1"/>
  <c r="M58" i="21" s="1"/>
  <c r="N58" i="21" s="1"/>
  <c r="O58" i="21" s="1"/>
  <c r="H7" i="21" s="1"/>
  <c r="J48" i="35"/>
  <c r="C19" i="83" l="1"/>
  <c r="H11" i="39"/>
  <c r="J11" i="39"/>
  <c r="F11" i="39"/>
  <c r="C20" i="83"/>
  <c r="C26" i="83" s="1"/>
  <c r="F7" i="21"/>
  <c r="AA7" i="21" s="1"/>
  <c r="R48"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3" l="1"/>
  <c r="C29" i="83" s="1"/>
  <c r="C57" i="83" s="1"/>
  <c r="C64" i="83" s="1"/>
  <c r="W11" i="39"/>
  <c r="AC11" i="39"/>
  <c r="AA11" i="39"/>
  <c r="S11" i="39"/>
  <c r="U11" i="39"/>
  <c r="AB11" i="39"/>
  <c r="AC7" i="21"/>
  <c r="V48" i="21" s="1"/>
  <c r="I48" i="21" s="1"/>
  <c r="I52" i="21" s="1"/>
  <c r="J52" i="21" s="1"/>
  <c r="S7" i="2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U7" i="35"/>
  <c r="AB7" i="35"/>
  <c r="T38" i="35" s="1"/>
  <c r="G38" i="35" s="1"/>
  <c r="E48" i="21"/>
  <c r="G52" i="21"/>
  <c r="H52" i="21" s="1"/>
  <c r="F7" i="35"/>
  <c r="F35" i="15"/>
  <c r="M21" i="15"/>
  <c r="M21" i="67"/>
  <c r="F35" i="67"/>
  <c r="Q49" i="83" l="1"/>
  <c r="J14" i="83"/>
  <c r="J22" i="83" s="1"/>
  <c r="R49" i="21"/>
  <c r="C49" i="21" s="1"/>
  <c r="C36" i="83"/>
  <c r="C13" i="83"/>
  <c r="C75" i="83" s="1"/>
  <c r="G53" i="21"/>
  <c r="H53" i="2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J13" i="83" l="1"/>
  <c r="J23" i="83" s="1"/>
  <c r="J16" i="83" s="1"/>
  <c r="J25" i="83" s="1"/>
  <c r="C48" i="21"/>
  <c r="C56" i="83"/>
  <c r="C65" i="83" s="1"/>
  <c r="C58" i="83" s="1"/>
  <c r="C67" i="83" s="1"/>
  <c r="C68" i="83" s="1"/>
  <c r="C71" i="83" s="1"/>
  <c r="Q70" i="83"/>
  <c r="C37" i="83"/>
  <c r="C30" i="83" s="1"/>
  <c r="C39" i="83" s="1"/>
  <c r="Q69" i="83" s="1"/>
  <c r="C51" i="68"/>
  <c r="C9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Q68" i="83" l="1"/>
  <c r="Q67" i="83"/>
  <c r="C80" i="83"/>
  <c r="C79" i="83" s="1"/>
  <c r="C40" i="83"/>
  <c r="C43" i="83" s="1"/>
  <c r="C92" i="9"/>
  <c r="C80" i="67"/>
  <c r="C79" i="67" s="1"/>
  <c r="C40" i="67"/>
  <c r="C45" i="67" s="1"/>
  <c r="C56" i="11"/>
  <c r="C57" i="11" s="1"/>
  <c r="B2" i="21"/>
  <c r="B3" i="21" s="1"/>
  <c r="C6" i="12" s="1"/>
  <c r="C8" i="12" s="1"/>
  <c r="J16" i="15"/>
  <c r="J25" i="15" s="1"/>
  <c r="J26" i="15" s="1"/>
  <c r="J29" i="15" s="1"/>
  <c r="C58" i="15"/>
  <c r="C67" i="15" s="1"/>
  <c r="C68" i="15" s="1"/>
  <c r="C71" i="15" s="1"/>
  <c r="C30" i="15"/>
  <c r="C39" i="15" s="1"/>
  <c r="O67" i="39"/>
  <c r="N69" i="39"/>
  <c r="C39" i="35"/>
  <c r="C38" i="35"/>
  <c r="N63" i="40"/>
  <c r="M65" i="40"/>
  <c r="E43" i="35"/>
  <c r="F43" i="35" s="1"/>
  <c r="E42" i="35"/>
  <c r="F42" i="35" s="1"/>
  <c r="I43" i="35"/>
  <c r="J43" i="35" s="1"/>
  <c r="D2" i="33"/>
  <c r="L51" i="67"/>
  <c r="O69" i="39" l="1"/>
  <c r="P67" i="39"/>
  <c r="Q56" i="83"/>
  <c r="Q62" i="83" s="1"/>
  <c r="C83" i="83"/>
  <c r="C82" i="83" s="1"/>
  <c r="C46" i="83"/>
  <c r="H41" i="83"/>
  <c r="Q47" i="83"/>
  <c r="Q53" i="83" s="1"/>
  <c r="B2" i="83"/>
  <c r="B3" i="83" s="1"/>
  <c r="D6" i="12" s="1"/>
  <c r="Q65" i="83"/>
  <c r="Q75" i="83" s="1"/>
  <c r="Q69" i="15"/>
  <c r="Q68" i="15" s="1"/>
  <c r="L57" i="67"/>
  <c r="L60" i="67" s="1"/>
  <c r="L46" i="67" s="1"/>
  <c r="D2" i="67" s="1"/>
  <c r="B2" i="67" s="1"/>
  <c r="Q67" i="67"/>
  <c r="Q65" i="67"/>
  <c r="B2" i="33"/>
  <c r="B3" i="33" s="1"/>
  <c r="C83" i="67"/>
  <c r="C82" i="67" s="1"/>
  <c r="Q47" i="67"/>
  <c r="Q53" i="67" s="1"/>
  <c r="C46" i="67"/>
  <c r="Q56" i="67"/>
  <c r="C43" i="67"/>
  <c r="C80" i="15"/>
  <c r="C79" i="15" s="1"/>
  <c r="C40" i="15"/>
  <c r="H41" i="15" s="1"/>
  <c r="O63" i="40"/>
  <c r="O65" i="40" s="1"/>
  <c r="N65" i="40"/>
  <c r="D2" i="34"/>
  <c r="D2" i="37"/>
  <c r="D2" i="35"/>
  <c r="D2" i="36"/>
  <c r="L51" i="15"/>
  <c r="P69" i="39" l="1"/>
  <c r="Q67" i="39"/>
  <c r="D8" i="12"/>
  <c r="C46" i="15"/>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10" i="1"/>
  <c r="AO9" i="1"/>
  <c r="AO12" i="1"/>
  <c r="AO11" i="1"/>
  <c r="AO7" i="1"/>
  <c r="R67" i="39" l="1"/>
  <c r="Q69" i="39"/>
  <c r="L46" i="15"/>
  <c r="B2" i="15" s="1"/>
  <c r="E8" i="12" s="1"/>
  <c r="C4" i="12" s="1"/>
  <c r="Q66" i="15"/>
  <c r="Q75" i="15" s="1"/>
  <c r="Q62" i="15"/>
  <c r="B9" i="70"/>
  <c r="B11" i="70"/>
  <c r="B7" i="70"/>
  <c r="B10" i="70"/>
  <c r="B12" i="70"/>
  <c r="U7" i="40"/>
  <c r="AB7" i="40"/>
  <c r="T42" i="40" s="1"/>
  <c r="G42" i="40" s="1"/>
  <c r="AA7" i="40"/>
  <c r="R42" i="40" s="1"/>
  <c r="S7" i="40"/>
  <c r="AC7" i="40"/>
  <c r="V42" i="40" s="1"/>
  <c r="I42" i="40" s="1"/>
  <c r="W7" i="40"/>
  <c r="AO6" i="1"/>
  <c r="AO8" i="1"/>
  <c r="R69" i="39" l="1"/>
  <c r="S67" i="39"/>
  <c r="C23" i="12"/>
  <c r="C31" i="12"/>
  <c r="B8" i="70"/>
  <c r="B3" i="15"/>
  <c r="E6" i="12" s="1"/>
  <c r="B6" i="70"/>
  <c r="I46" i="40"/>
  <c r="J46" i="40" s="1"/>
  <c r="R43" i="40"/>
  <c r="E42" i="40"/>
  <c r="G47" i="40"/>
  <c r="H47" i="40" s="1"/>
  <c r="G46" i="40"/>
  <c r="H46" i="40" s="1"/>
  <c r="S69" i="39" l="1"/>
  <c r="T67" i="39"/>
  <c r="C30" i="12"/>
  <c r="C28" i="12" s="1"/>
  <c r="C27" i="12"/>
  <c r="C25" i="12" s="1"/>
  <c r="B2" i="70"/>
  <c r="B3" i="70" s="1"/>
  <c r="C42" i="40"/>
  <c r="C43" i="40"/>
  <c r="E47" i="40"/>
  <c r="F47" i="40" s="1"/>
  <c r="E46" i="40"/>
  <c r="F46" i="40" s="1"/>
  <c r="I47" i="40"/>
  <c r="J47" i="40" s="1"/>
  <c r="H7" i="39" l="1"/>
  <c r="U67" i="39"/>
  <c r="U69" i="39" s="1"/>
  <c r="T69" i="39"/>
  <c r="C32" i="12"/>
  <c r="B2" i="12" s="1"/>
  <c r="B58" i="40"/>
  <c r="F58" i="40" s="1"/>
  <c r="B54" i="40"/>
  <c r="F54" i="40" s="1"/>
  <c r="B53" i="40"/>
  <c r="F53" i="40" s="1"/>
  <c r="B59" i="40"/>
  <c r="F59" i="40" s="1"/>
  <c r="B52" i="40"/>
  <c r="F52" i="40" s="1"/>
  <c r="B56" i="40"/>
  <c r="F56" i="40" s="1"/>
  <c r="B60" i="40"/>
  <c r="F60" i="40" s="1"/>
  <c r="B57" i="40"/>
  <c r="F57" i="40" s="1"/>
  <c r="B51" i="40"/>
  <c r="F51" i="40" s="1"/>
  <c r="D19" i="9"/>
  <c r="AB7" i="39" l="1"/>
  <c r="T47" i="39" s="1"/>
  <c r="G47" i="39" s="1"/>
  <c r="U7" i="39"/>
  <c r="F7" i="39"/>
  <c r="J7" i="39"/>
  <c r="D102" i="9"/>
  <c r="D21" i="9"/>
  <c r="B3" i="12"/>
  <c r="F61" i="40"/>
  <c r="B2" i="40" s="1"/>
  <c r="D20" i="9"/>
  <c r="W7" i="39" l="1"/>
  <c r="AC7" i="39"/>
  <c r="V47" i="39" s="1"/>
  <c r="I47" i="39" s="1"/>
  <c r="AA7" i="39"/>
  <c r="R47" i="39" s="1"/>
  <c r="S7" i="39"/>
  <c r="G51" i="39"/>
  <c r="H51" i="39" s="1"/>
  <c r="G52" i="39"/>
  <c r="H52" i="39" s="1"/>
  <c r="D103" i="9"/>
  <c r="B3" i="40"/>
  <c r="C44" i="40"/>
  <c r="I51" i="39" l="1"/>
  <c r="J51" i="39" s="1"/>
  <c r="I52" i="39"/>
  <c r="J52" i="39" s="1"/>
  <c r="E47" i="39"/>
  <c r="R48" i="39"/>
  <c r="C47" i="39" l="1"/>
  <c r="C48" i="39"/>
  <c r="E52" i="39"/>
  <c r="F52" i="39" s="1"/>
  <c r="E51" i="39"/>
  <c r="F51" i="39" s="1"/>
  <c r="B56" i="39" l="1"/>
  <c r="F56" i="39" s="1"/>
  <c r="B62" i="39"/>
  <c r="F62" i="39" s="1"/>
  <c r="B57" i="39"/>
  <c r="F57" i="39" s="1"/>
  <c r="B59" i="39"/>
  <c r="F59" i="39" s="1"/>
  <c r="B61" i="39"/>
  <c r="F61" i="39" s="1"/>
  <c r="B60" i="39"/>
  <c r="F60" i="39" s="1"/>
  <c r="B63" i="39"/>
  <c r="F63" i="39" s="1"/>
  <c r="B58" i="39"/>
  <c r="F58" i="39" s="1"/>
  <c r="B64" i="39"/>
  <c r="F64" i="39" s="1"/>
  <c r="F65" i="39" l="1"/>
  <c r="B2" i="39" l="1"/>
  <c r="B3" i="39" s="1"/>
  <c r="C6" i="68"/>
  <c r="C7" i="68" s="1"/>
  <c r="C5" i="68" s="1"/>
  <c r="C20" i="68" l="1"/>
  <c r="C25" i="68" s="1"/>
  <c r="C23" i="68"/>
  <c r="C28" i="68"/>
  <c r="C27" i="68" s="1"/>
  <c r="C22" i="68" l="1"/>
  <c r="C31" i="68" s="1"/>
  <c r="C52" i="68" s="1"/>
  <c r="B2" i="68" s="1"/>
  <c r="C19" i="9"/>
  <c r="C57" i="68" l="1"/>
  <c r="C56" i="68" s="1"/>
  <c r="G19" i="9"/>
  <c r="C21" i="9"/>
  <c r="C102" i="9"/>
  <c r="D22" i="9"/>
  <c r="B3" i="68"/>
  <c r="D59" i="9"/>
  <c r="M55" i="9" s="1"/>
  <c r="D35" i="9"/>
  <c r="D34" i="9"/>
  <c r="C20" i="9"/>
  <c r="C103" i="9" l="1"/>
  <c r="G20" i="9"/>
  <c r="G21" i="9"/>
  <c r="C32" i="9"/>
  <c r="H118" i="9" l="1"/>
  <c r="C35" i="9"/>
  <c r="C34" i="9" l="1"/>
  <c r="D118" i="9" s="1"/>
  <c r="F118" i="9"/>
  <c r="C104" i="9"/>
  <c r="H101" i="9"/>
  <c r="H119" i="9"/>
  <c r="H5" i="52" s="1"/>
  <c r="D14" i="74"/>
  <c r="I118" i="9"/>
  <c r="H4" i="52"/>
  <c r="G14" i="74" l="1"/>
  <c r="B5" i="74"/>
  <c r="E14" i="74"/>
  <c r="F14" i="74"/>
  <c r="D45" i="9"/>
  <c r="H107" i="9"/>
  <c r="M48" i="9"/>
  <c r="D5" i="53"/>
  <c r="F119" i="9"/>
  <c r="F5" i="52" s="1"/>
  <c r="B53" i="72" s="1"/>
  <c r="G118" i="9"/>
  <c r="G4" i="52" s="1"/>
  <c r="B52" i="72" s="1"/>
  <c r="F4" i="52"/>
  <c r="B51" i="72" s="1"/>
  <c r="C105" i="9"/>
  <c r="H102" i="9"/>
  <c r="D7" i="53" s="1"/>
  <c r="B21" i="72" s="1"/>
  <c r="I4" i="52"/>
  <c r="D4" i="52"/>
  <c r="B47" i="72" s="1"/>
  <c r="K118" i="9"/>
  <c r="D119" i="9"/>
  <c r="D5" i="52" s="1"/>
  <c r="B49" i="72" s="1"/>
  <c r="D126" i="9"/>
  <c r="D19" i="53"/>
  <c r="B20" i="72" l="1"/>
  <c r="D6" i="53"/>
  <c r="B22" i="72" s="1"/>
  <c r="D13" i="53"/>
  <c r="H108" i="9"/>
  <c r="D15" i="53" s="1"/>
  <c r="B31" i="72" s="1"/>
  <c r="M49" i="9"/>
  <c r="D122" i="9"/>
  <c r="D5" i="74"/>
  <c r="C5" i="74"/>
  <c r="E118" i="9"/>
  <c r="E4" i="52" s="1"/>
  <c r="B48" i="72" s="1"/>
  <c r="D52" i="9"/>
  <c r="C78" i="9"/>
  <c r="C73" i="9" s="1"/>
  <c r="C85" i="9"/>
  <c r="C64" i="9"/>
  <c r="C63" i="9" s="1"/>
  <c r="C67" i="9" s="1"/>
  <c r="C68" i="9" s="1"/>
  <c r="D54" i="9" s="1"/>
  <c r="D53" i="9"/>
  <c r="D48" i="9" s="1"/>
  <c r="M52" i="9" s="1"/>
  <c r="D55" i="9"/>
  <c r="M53" i="9" s="1"/>
  <c r="C93" i="9"/>
  <c r="C86" i="9" s="1"/>
  <c r="C72" i="9"/>
  <c r="C79" i="9" s="1"/>
  <c r="B7" i="74"/>
  <c r="B6" i="74"/>
  <c r="D127" i="9"/>
  <c r="D13" i="52" s="1"/>
  <c r="D12" i="52"/>
  <c r="D21" i="53"/>
  <c r="B39" i="72" s="1"/>
  <c r="B38" i="72"/>
  <c r="D20" i="53"/>
  <c r="B40" i="72" s="1"/>
  <c r="C7" i="74" l="1"/>
  <c r="D7" i="74"/>
  <c r="C95" i="9"/>
  <c r="D8" i="52"/>
  <c r="D123" i="9"/>
  <c r="D9" i="52" s="1"/>
  <c r="D6" i="74"/>
  <c r="C6" i="74"/>
  <c r="C80" i="9"/>
  <c r="E80" i="9" s="1"/>
  <c r="E81" i="9" s="1"/>
  <c r="L66" i="9"/>
  <c r="M66" i="9" s="1"/>
  <c r="L68" i="9"/>
  <c r="M68" i="9" s="1"/>
  <c r="L63" i="9"/>
  <c r="M63" i="9" s="1"/>
  <c r="L67" i="9"/>
  <c r="M67" i="9" s="1"/>
  <c r="L65" i="9"/>
  <c r="M65" i="9" s="1"/>
  <c r="L64" i="9"/>
  <c r="M64" i="9" s="1"/>
  <c r="B30" i="72"/>
  <c r="D14" i="53"/>
  <c r="B32" i="72" s="1"/>
  <c r="M69" i="9" l="1"/>
  <c r="N69" i="9" s="1"/>
  <c r="C81" i="9"/>
  <c r="C96" i="9"/>
  <c r="E96" i="9" s="1"/>
  <c r="E97" i="9" s="1"/>
  <c r="C97" i="9" l="1"/>
  <c r="D58" i="9" s="1"/>
  <c r="D56" i="9" s="1"/>
  <c r="M54" i="9" s="1"/>
  <c r="N57" i="9" s="1"/>
  <c r="P57" i="9" s="1"/>
  <c r="N58" i="9" l="1"/>
  <c r="N59" i="9"/>
  <c r="N61" i="9" s="1"/>
  <c r="H112" i="9" s="1"/>
  <c r="H111" i="9"/>
  <c r="B8" i="74" s="1"/>
  <c r="N60" i="9"/>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<sst xmlns="http://schemas.openxmlformats.org/spreadsheetml/2006/main" count="8942" uniqueCount="3714">
  <si>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</si>
  <si>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</si>
  <si>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</si>
  <si>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</si>
  <si>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</si>
  <si>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</si>
  <si>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</si>
  <si>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</si>
  <si>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</si>
  <si>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</si>
  <si>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</si>
  <si>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</si>
  <si>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</si>
  <si>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</si>
  <si>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</si>
  <si>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</si>
  <si>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</si>
  <si>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</si>
  <si>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</si>
  <si>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</si>
  <si>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</si>
  <si>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</si>
  <si>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</si>
  <si>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</si>
  <si>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</si>
  <si>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</si>
  <si>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</si>
  <si>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</si>
  <si>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</si>
  <si>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</si>
  <si>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</si>
  <si>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</si>
  <si>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</si>
  <si>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</si>
  <si>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</si>
  <si>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</si>
  <si>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</si>
  <si>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</si>
  <si>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</si>
  <si>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</si>
  <si>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</si>
  <si>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</si>
  <si>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</si>
  <si>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</si>
  <si>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</si>
  <si>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</si>
  <si>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</si>
  <si>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</si>
  <si>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</si>
  <si>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</si>
  <si>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</si>
  <si>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</si>
  <si>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</si>
  <si>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</si>
  <si>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</si>
  <si>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</si>
  <si>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</si>
  <si>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</si>
  <si>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</si>
  <si>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</si>
  <si>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</si>
  <si>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</si>
  <si>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</si>
  <si>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</si>
  <si>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</si>
  <si>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</si>
  <si>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</si>
  <si>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</si>
  <si>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</si>
  <si>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</si>
  <si>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</si>
  <si>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</si>
  <si>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</si>
  <si>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</si>
  <si>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</si>
  <si>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</si>
  <si>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</si>
  <si>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</si>
  <si>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</si>
  <si>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</si>
  <si>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</si>
  <si>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</si>
  <si>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</si>
  <si>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</si>
  <si>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</si>
  <si>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</si>
  <si>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</si>
  <si>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</si>
  <si>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</si>
  <si>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</si>
  <si>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</si>
  <si>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</si>
  <si>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</si>
  <si>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</si>
  <si>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</si>
  <si>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</si>
  <si>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</si>
  <si>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</si>
  <si>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</si>
  <si>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</si>
  <si>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</si>
  <si>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</si>
  <si>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</si>
  <si>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</si>
  <si>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</si>
  <si>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</si>
  <si>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</si>
  <si>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</si>
  <si>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</si>
  <si>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</si>
  <si>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</si>
  <si>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</si>
  <si>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</si>
  <si>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</si>
  <si>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</si>
  <si>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</si>
  <si>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</si>
  <si>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</si>
  <si>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</si>
  <si>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</si>
  <si>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</si>
  <si>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</si>
  <si>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</si>
  <si>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</si>
  <si>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</si>
  <si>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</si>
  <si>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</si>
  <si>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</si>
  <si>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</si>
  <si>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</si>
  <si>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</si>
  <si>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</si>
  <si>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</si>
  <si>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</si>
  <si>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</si>
  <si>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</si>
  <si>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</si>
  <si>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</si>
  <si>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</si>
  <si>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</si>
  <si>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</si>
  <si>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</si>
  <si>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</si>
  <si>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</si>
  <si>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</si>
  <si>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</si>
  <si>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</si>
  <si>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</si>
  <si>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</si>
  <si>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</si>
  <si>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</si>
  <si>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</si>
  <si>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</si>
  <si>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</si>
  <si>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</si>
  <si>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</si>
  <si>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</si>
  <si>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</si>
  <si>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</si>
  <si>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</si>
  <si>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</si>
  <si>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</si>
  <si>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</si>
  <si>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</si>
  <si>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</si>
  <si>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</si>
  <si>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</si>
  <si>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</si>
  <si>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</si>
  <si>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</si>
  <si>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</si>
  <si>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</si>
  <si>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</si>
  <si>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</si>
  <si>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</si>
  <si>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</si>
  <si>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</si>
  <si>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</si>
  <si>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</si>
  <si>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</si>
  <si>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</si>
  <si>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</si>
  <si>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</si>
  <si>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</si>
  <si>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</si>
  <si>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</si>
  <si>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</si>
  <si>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</si>
  <si>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</si>
  <si>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</si>
  <si>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</si>
  <si>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</si>
  <si>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</si>
  <si>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</si>
  <si>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</si>
  <si>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</si>
  <si>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</si>
  <si>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</si>
  <si>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</si>
  <si>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</si>
  <si>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</si>
  <si>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</si>
  <si>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</si>
  <si>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</si>
  <si>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</si>
  <si>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</si>
  <si>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</si>
  <si>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</si>
  <si>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</si>
  <si>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</si>
  <si>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</si>
  <si>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</si>
  <si>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</si>
  <si>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</si>
  <si>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</si>
  <si>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</si>
  <si>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</si>
  <si>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</si>
  <si>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</si>
  <si>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</si>
  <si>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</si>
  <si>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</si>
  <si>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</si>
  <si>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</si>
  <si>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</si>
  <si>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</si>
  <si>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</si>
  <si>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</si>
  <si>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</si>
  <si>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</si>
  <si>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</si>
  <si>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</si>
  <si>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</si>
  <si>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</si>
  <si>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</si>
  <si>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</si>
  <si>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</si>
  <si>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</si>
  <si>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</si>
  <si>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</si>
  <si>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</si>
  <si>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</si>
  <si>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</si>
  <si>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</si>
  <si>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</si>
  <si>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</si>
  <si>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</si>
  <si>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</si>
  <si>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</si>
  <si>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</si>
  <si>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</si>
  <si>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</si>
  <si>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</si>
  <si>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</si>
  <si>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</si>
  <si>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</si>
  <si>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</si>
  <si>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</si>
  <si>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</si>
  <si>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</si>
  <si>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</si>
  <si>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</si>
  <si>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</si>
  <si>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</si>
  <si>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</si>
  <si>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</si>
  <si>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</si>
  <si>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</si>
  <si>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</si>
  <si>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</si>
  <si>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</si>
  <si>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</si>
  <si>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</si>
  <si>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</si>
  <si>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</si>
  <si>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</si>
  <si>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</si>
  <si>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</si>
  <si>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</si>
  <si>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</si>
  <si>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</si>
  <si>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</si>
  <si>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</si>
  <si>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</si>
  <si>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</si>
  <si>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</si>
  <si>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</si>
  <si>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</si>
  <si>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</si>
  <si>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</si>
  <si>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</si>
  <si>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</si>
  <si>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</si>
  <si>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</si>
  <si>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</si>
  <si>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</si>
  <si>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</si>
  <si>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</si>
  <si>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</si>
  <si>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</si>
  <si>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</si>
  <si>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</si>
  <si>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</si>
  <si>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</si>
  <si>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</si>
  <si>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</si>
  <si>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</si>
  <si>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</si>
  <si>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</si>
  <si>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</si>
  <si>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</si>
  <si>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</si>
  <si>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</si>
  <si>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</si>
  <si>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</si>
  <si>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</si>
  <si>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</si>
  <si>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</si>
  <si>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</si>
  <si>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</si>
  <si>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</si>
  <si>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</si>
  <si>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</si>
  <si>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</si>
  <si>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</si>
  <si>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</si>
  <si>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</si>
  <si>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</si>
  <si>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</si>
  <si>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</si>
  <si>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</si>
  <si>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</si>
  <si>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</si>
  <si>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</si>
  <si>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</si>
  <si>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</si>
  <si>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</si>
  <si>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</si>
  <si>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</si>
  <si>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</si>
  <si>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</si>
  <si>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</si>
  <si>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</si>
  <si>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</si>
  <si>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</si>
  <si>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</si>
  <si>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</si>
  <si>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</si>
  <si>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</si>
  <si>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</si>
  <si>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</si>
  <si>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</si>
  <si>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</si>
  <si>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</si>
  <si>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</si>
  <si>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</si>
  <si>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</si>
  <si>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</si>
  <si>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</si>
  <si>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</si>
  <si>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</si>
  <si>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</si>
  <si>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</si>
  <si>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</si>
  <si>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</si>
  <si>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</si>
  <si>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</si>
  <si>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</si>
  <si>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</si>
  <si>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</si>
  <si>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</si>
  <si>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</si>
  <si>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</si>
  <si>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</si>
  <si>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</si>
  <si>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</si>
  <si>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</si>
  <si>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</si>
  <si>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</si>
  <si>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</si>
  <si>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</si>
  <si>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</si>
  <si>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</si>
  <si>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</si>
  <si>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</si>
  <si>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</si>
  <si>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</si>
  <si>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</si>
  <si>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</si>
  <si>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</si>
  <si>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</si>
  <si>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</si>
  <si>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</si>
  <si>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</si>
  <si>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</si>
  <si>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</si>
  <si>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</si>
  <si>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</si>
  <si>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</si>
  <si>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</si>
  <si>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</si>
  <si>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</si>
  <si>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</si>
  <si>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</si>
  <si>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</si>
  <si>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</si>
  <si>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</si>
  <si>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</si>
  <si>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</si>
  <si>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</si>
  <si>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</si>
  <si>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</si>
  <si>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</si>
  <si>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</si>
  <si>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</si>
  <si>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</si>
  <si>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</si>
  <si>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</si>
  <si>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</si>
  <si>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</si>
  <si>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</si>
  <si>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</si>
  <si>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</si>
  <si>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</si>
  <si>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</si>
  <si>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</si>
  <si>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</si>
  <si>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</si>
  <si>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</si>
  <si>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</si>
  <si>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</si>
  <si>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</si>
  <si>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</si>
  <si>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</si>
  <si>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</si>
  <si>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</si>
  <si>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</si>
  <si>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</si>
  <si>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</si>
  <si>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</si>
  <si>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</si>
  <si>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</si>
  <si>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</si>
  <si>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</si>
  <si>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</si>
  <si>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</si>
  <si>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</si>
  <si>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</si>
  <si>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</si>
  <si>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</si>
  <si>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</si>
  <si>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</si>
  <si>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</si>
  <si>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</si>
  <si>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</si>
  <si>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</si>
  <si>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</si>
  <si>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</si>
  <si>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</si>
  <si>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</si>
  <si>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</si>
  <si>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</si>
  <si>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</si>
  <si>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</si>
  <si>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</si>
  <si>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</si>
  <si>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</si>
  <si>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</si>
  <si>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</si>
  <si>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</si>
  <si>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</si>
  <si>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</si>
  <si>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</si>
  <si>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</si>
  <si>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</si>
  <si>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</si>
  <si>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</si>
  <si>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</si>
  <si>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</si>
  <si>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</si>
  <si>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</si>
  <si>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</si>
  <si>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</si>
  <si>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</si>
  <si>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</si>
  <si>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</si>
  <si>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</si>
  <si>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</si>
  <si>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</si>
  <si>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</si>
  <si>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</si>
  <si>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</si>
  <si>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</si>
  <si>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</si>
  <si>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</si>
  <si>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</si>
  <si>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</si>
  <si>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</si>
  <si>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</si>
  <si>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</si>
  <si>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</si>
  <si>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</si>
  <si>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</si>
  <si>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</si>
  <si>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</si>
  <si>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</si>
  <si>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</si>
  <si>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</si>
  <si>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</si>
  <si>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</si>
  <si>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</si>
  <si>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</si>
  <si>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</si>
  <si>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</si>
  <si>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</si>
  <si>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</si>
  <si>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</si>
  <si>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</si>
  <si>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</si>
  <si>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</si>
  <si>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</si>
  <si>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</si>
  <si>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</si>
  <si>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</si>
  <si>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</si>
  <si>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</si>
  <si>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</si>
  <si>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</si>
  <si>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</si>
  <si>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</si>
  <si>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</si>
  <si>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</si>
  <si>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</si>
  <si>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</si>
  <si>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</si>
  <si>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</si>
  <si>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</si>
  <si>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</si>
  <si>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</si>
  <si>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</si>
  <si>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</si>
  <si>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</si>
  <si>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</si>
  <si>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</si>
  <si>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</si>
  <si>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</si>
  <si>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</si>
  <si>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</si>
  <si>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</si>
  <si>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</si>
  <si>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</si>
  <si>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</si>
  <si>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</si>
  <si>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</si>
  <si>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</si>
  <si>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</si>
  <si>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</si>
  <si>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</si>
  <si>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</si>
  <si>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</si>
  <si>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</si>
  <si>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</si>
  <si>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</si>
  <si>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</si>
  <si>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</si>
  <si>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</si>
  <si>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</si>
  <si>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</si>
  <si>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</si>
  <si>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</si>
  <si>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</si>
  <si>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</si>
  <si>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</si>
  <si>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</si>
  <si>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</si>
  <si>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</si>
  <si>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</si>
  <si>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</si>
  <si>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</si>
  <si>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</si>
  <si>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</si>
  <si>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</si>
  <si>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</si>
  <si>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</si>
  <si>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</si>
  <si>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</si>
  <si>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</si>
  <si>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</si>
  <si>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</si>
  <si>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</si>
  <si>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</si>
  <si>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</si>
  <si>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</si>
  <si>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</si>
  <si>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</si>
  <si>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</si>
  <si>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</si>
  <si>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</si>
  <si>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</si>
  <si>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</si>
  <si>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</si>
  <si>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</si>
  <si>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</si>
  <si>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</si>
  <si>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</si>
  <si>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</si>
  <si>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</si>
  <si>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</si>
  <si>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</si>
  <si>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</si>
  <si>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</si>
  <si>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</si>
  <si>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</si>
  <si>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</si>
  <si>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</si>
  <si>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</si>
  <si>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</si>
  <si>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</si>
  <si>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</si>
  <si>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</si>
  <si>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</si>
  <si>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</si>
  <si>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</si>
  <si>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</si>
  <si>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</si>
  <si>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</si>
  <si>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</si>
  <si>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</si>
  <si>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</si>
  <si>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</si>
  <si>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</si>
  <si>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</si>
  <si>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</si>
  <si>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</si>
  <si>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</si>
  <si>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</si>
  <si>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</si>
  <si>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</si>
  <si>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</si>
  <si>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</si>
  <si>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</si>
  <si>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</si>
  <si>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</si>
  <si>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</si>
  <si>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</si>
  <si>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</si>
  <si>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</si>
  <si>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</si>
  <si>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</si>
  <si>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</si>
  <si>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</si>
  <si>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</si>
  <si>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</si>
  <si>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</si>
  <si>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</si>
  <si>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</si>
  <si>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</si>
  <si>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</si>
  <si>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</si>
  <si>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</si>
  <si>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</si>
  <si>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</si>
  <si>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</si>
  <si>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</si>
  <si>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</si>
  <si>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</si>
  <si>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</si>
  <si>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</si>
  <si>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</si>
  <si>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</si>
  <si>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</si>
  <si>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</si>
  <si>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</si>
  <si>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</si>
  <si>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</si>
  <si>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</si>
  <si>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</si>
  <si>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</si>
  <si>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</si>
  <si>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</si>
  <si>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</si>
  <si>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</si>
  <si>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</si>
  <si>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</si>
  <si>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</si>
  <si>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</si>
  <si>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</si>
  <si>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</si>
  <si>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</si>
  <si>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</si>
  <si>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</si>
  <si>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</si>
  <si>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</si>
  <si>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</si>
  <si>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</si>
  <si>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</si>
  <si>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</si>
  <si>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</si>
  <si>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</si>
  <si>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</si>
  <si>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</si>
  <si>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</si>
  <si>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</si>
  <si>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</si>
  <si>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</si>
  <si>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</si>
  <si>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</si>
  <si>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</si>
  <si>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</si>
  <si>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</si>
  <si>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</si>
  <si>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</si>
  <si>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</si>
  <si>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</si>
  <si>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</si>
  <si>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</si>
  <si>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</si>
  <si>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</si>
  <si>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</si>
  <si>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</si>
  <si>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</si>
  <si>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</si>
  <si>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</si>
  <si>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</si>
  <si>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</si>
  <si>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</si>
  <si>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</si>
  <si>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</si>
  <si>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</si>
  <si>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</si>
  <si>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</si>
  <si>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</si>
  <si>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</si>
  <si>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</si>
  <si>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</si>
  <si>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</si>
  <si>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</si>
  <si>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</si>
  <si>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</si>
  <si>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</si>
  <si>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</si>
  <si>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</si>
  <si>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</si>
  <si>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</si>
  <si>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</si>
  <si>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</si>
  <si>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</si>
  <si>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</si>
  <si>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</si>
  <si>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</si>
  <si>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</si>
  <si>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</si>
  <si>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</si>
  <si>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</si>
  <si>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</si>
  <si>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</si>
  <si>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</si>
  <si>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</si>
  <si>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</si>
  <si>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</si>
  <si>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</si>
  <si>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</si>
  <si>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</si>
  <si>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</si>
  <si>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</si>
  <si>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</si>
  <si>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</si>
  <si>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</si>
  <si>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</si>
  <si>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</si>
  <si>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</si>
  <si>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</si>
  <si>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</si>
  <si>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</si>
  <si>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</si>
  <si>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</si>
  <si>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</si>
  <si>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</si>
  <si>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</si>
  <si>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</si>
  <si>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</si>
  <si>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</si>
  <si>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</si>
  <si>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</si>
  <si>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</si>
  <si>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</si>
  <si>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</si>
  <si>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</si>
  <si>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</si>
  <si>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</si>
  <si>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</si>
  <si>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</si>
  <si>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</si>
  <si>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</si>
  <si>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</si>
  <si>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</si>
  <si>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</si>
  <si>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</si>
  <si>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</si>
  <si>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</si>
  <si>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</si>
  <si>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</si>
  <si>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</si>
  <si>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</si>
  <si>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</si>
  <si>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</si>
  <si>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</si>
  <si>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</si>
  <si>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</si>
  <si>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</si>
  <si>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</si>
  <si>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</si>
  <si>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</si>
  <si>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</si>
  <si>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</si>
  <si>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</si>
  <si>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</si>
  <si>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</si>
  <si>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</si>
  <si>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</si>
  <si>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</si>
  <si>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</si>
  <si>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</si>
  <si>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</si>
  <si>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</si>
  <si>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</si>
  <si>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</si>
  <si>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</si>
  <si>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</si>
  <si>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</si>
  <si>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</si>
  <si>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</si>
  <si>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</si>
  <si>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</si>
  <si>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</si>
  <si>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</si>
  <si>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</si>
  <si>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</si>
  <si>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</si>
  <si>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</si>
  <si>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</si>
  <si>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</si>
  <si>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</si>
  <si>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</si>
  <si>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</si>
  <si>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</si>
  <si>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</si>
  <si>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</si>
  <si>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</si>
  <si>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</si>
  <si>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</si>
  <si>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</si>
  <si>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</si>
  <si>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</si>
  <si>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</si>
  <si>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</si>
  <si>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</si>
  <si>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</si>
  <si>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</si>
  <si>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</si>
  <si>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</si>
  <si>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</si>
  <si>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</si>
  <si>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</si>
  <si>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</si>
  <si>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</si>
  <si>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</si>
  <si>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</si>
  <si>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</si>
  <si>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</si>
  <si>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</si>
  <si>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</si>
  <si>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</si>
  <si>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</si>
  <si>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</si>
  <si>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</si>
  <si>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</si>
  <si>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</si>
  <si>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</si>
  <si>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</si>
  <si>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</si>
  <si>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</si>
  <si>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</si>
  <si>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</si>
  <si>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</si>
  <si>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</si>
  <si>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</si>
  <si>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</si>
  <si>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</si>
  <si>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</si>
  <si>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</si>
  <si>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</si>
  <si>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</si>
  <si>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</si>
  <si>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</si>
  <si>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</si>
  <si>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</si>
  <si>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</si>
  <si>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</si>
  <si>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</si>
  <si>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</si>
  <si>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</si>
  <si>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</si>
  <si>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</si>
  <si>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</si>
  <si>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</si>
  <si>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</si>
  <si>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</si>
  <si>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</si>
  <si>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</si>
  <si>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</si>
  <si>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</si>
  <si>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</si>
  <si>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</si>
  <si>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</si>
  <si>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</si>
  <si>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</si>
  <si>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</si>
  <si>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</si>
  <si>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</si>
  <si>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</si>
  <si>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</si>
  <si>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</si>
  <si>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</si>
  <si>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</si>
  <si>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</si>
  <si>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</si>
  <si>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</si>
  <si>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</si>
  <si>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</si>
  <si>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</si>
  <si>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</si>
  <si>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</si>
  <si>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</si>
  <si>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</si>
  <si>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</si>
  <si>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</si>
  <si>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</si>
  <si>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</si>
  <si>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</si>
  <si>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</si>
  <si>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</si>
  <si>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</si>
  <si>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</si>
  <si>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</si>
  <si>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</si>
  <si>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</si>
  <si>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</si>
  <si>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</si>
  <si>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</si>
  <si>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</si>
  <si>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</si>
  <si>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</si>
  <si>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</si>
  <si>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</si>
  <si>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</si>
  <si>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</si>
  <si>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</si>
  <si>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</si>
  <si>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</si>
  <si>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</si>
  <si>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</si>
  <si>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</si>
  <si>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</si>
  <si>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</si>
  <si>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</si>
  <si>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</si>
  <si>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</si>
  <si>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</si>
  <si>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</si>
  <si>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</si>
  <si>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</si>
  <si>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</si>
  <si>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</si>
  <si>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</si>
  <si>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</si>
  <si>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</si>
  <si>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</si>
  <si>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</si>
  <si>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</si>
  <si>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</si>
  <si>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</si>
  <si>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</si>
  <si>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</si>
  <si>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</si>
  <si>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</si>
  <si>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</si>
  <si>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</si>
  <si>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</si>
  <si>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</si>
  <si>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</si>
  <si>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</si>
  <si>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</si>
  <si>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</si>
  <si>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</si>
  <si>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</si>
  <si>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</si>
  <si>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</si>
  <si>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</si>
  <si>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</si>
  <si>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</si>
  <si>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</si>
  <si>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</si>
  <si>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</si>
  <si>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</si>
  <si>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</si>
  <si>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</si>
  <si>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</si>
  <si>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</si>
  <si>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</si>
  <si>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</si>
  <si>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</si>
  <si>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</si>
  <si>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</si>
  <si>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</si>
  <si>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</si>
  <si>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</si>
  <si>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</si>
  <si>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</si>
  <si>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</si>
  <si>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</si>
  <si>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</si>
  <si>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</si>
  <si>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</si>
  <si>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</si>
  <si>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</si>
  <si>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</si>
  <si>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</si>
  <si>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</si>
  <si>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</si>
  <si>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</si>
  <si>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</si>
  <si>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</si>
  <si>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</si>
  <si>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</si>
  <si>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</si>
  <si>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</si>
  <si>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</si>
  <si>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</si>
  <si>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</si>
  <si>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</si>
  <si>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</si>
  <si>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</si>
  <si>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</si>
  <si>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</si>
  <si>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</si>
  <si>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</si>
  <si>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</si>
  <si>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</si>
  <si>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</si>
  <si>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</si>
  <si>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</si>
  <si>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</si>
  <si>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</si>
  <si>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</si>
  <si>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</si>
  <si>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</si>
  <si>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</si>
  <si>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</si>
  <si>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</si>
  <si>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</si>
  <si>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</si>
  <si>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</si>
  <si>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</si>
  <si>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</si>
  <si>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</si>
  <si>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</si>
  <si>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</si>
  <si>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</si>
  <si>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</si>
  <si>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</si>
  <si>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</si>
  <si>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</si>
  <si>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</si>
  <si>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</si>
  <si>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</si>
  <si>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</si>
  <si>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</si>
  <si>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</si>
  <si>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</si>
  <si>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</si>
  <si>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</si>
  <si>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</si>
  <si>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</si>
  <si>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</si>
  <si>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</si>
  <si>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</si>
  <si>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</si>
  <si>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</si>
  <si>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</si>
  <si>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</si>
  <si>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</si>
  <si>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</si>
  <si>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</si>
  <si>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</si>
  <si>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</si>
  <si>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</si>
  <si>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</si>
  <si>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</si>
  <si>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</si>
  <si>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</si>
  <si>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</si>
  <si>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</si>
  <si>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</si>
  <si>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</si>
  <si>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</si>
  <si>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</si>
  <si>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</si>
  <si>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</si>
  <si>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</si>
  <si>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</si>
  <si>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</si>
  <si>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</si>
  <si>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</si>
  <si>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</si>
  <si>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</si>
  <si>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</si>
  <si>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</si>
  <si>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</si>
  <si>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</si>
  <si>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</si>
  <si>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</si>
  <si>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</si>
  <si>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</si>
  <si>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</si>
  <si>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</si>
  <si>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</si>
  <si>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</si>
  <si>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</si>
  <si>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</si>
  <si>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</si>
  <si>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</si>
  <si>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</si>
  <si>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</si>
  <si>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</si>
  <si>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</si>
  <si>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</si>
  <si>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</si>
  <si>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</si>
  <si>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</si>
  <si>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</si>
  <si>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</si>
  <si>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</si>
  <si>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</si>
  <si>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</si>
  <si>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</si>
  <si>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</si>
  <si>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</si>
  <si>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</si>
  <si>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</si>
  <si>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</si>
  <si>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</si>
  <si>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</si>
  <si>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</si>
  <si>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</si>
  <si>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</si>
  <si>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</si>
  <si>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</si>
  <si>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</si>
  <si>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</si>
  <si>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</si>
  <si>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</si>
  <si>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</si>
  <si>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</si>
  <si>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</si>
  <si>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</si>
  <si>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</si>
  <si>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</si>
  <si>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</si>
  <si>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</si>
  <si>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</si>
  <si>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</si>
  <si>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</si>
  <si>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</si>
  <si>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</si>
  <si>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</si>
  <si>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</si>
  <si>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</si>
  <si>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</si>
  <si>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</si>
  <si>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</si>
  <si>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</si>
  <si>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</si>
  <si>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</si>
  <si>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</si>
  <si>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</si>
  <si>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</si>
  <si>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</si>
  <si>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</si>
  <si>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</si>
  <si>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</si>
  <si>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</si>
  <si>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</si>
  <si>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</si>
  <si>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</si>
  <si>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</si>
  <si>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</si>
  <si>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</si>
  <si>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</si>
  <si>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</si>
  <si>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</si>
  <si>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</si>
  <si>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</si>
  <si>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</si>
  <si>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</si>
  <si>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</si>
  <si>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</si>
  <si>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</si>
  <si>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</si>
  <si>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</si>
  <si>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</si>
  <si>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</si>
  <si>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</si>
  <si>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</si>
  <si>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</si>
  <si>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</si>
  <si>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</si>
  <si>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</si>
  <si>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</si>
  <si>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</si>
  <si>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</si>
  <si>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</si>
  <si>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</si>
  <si>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</si>
  <si>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</si>
  <si>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</si>
  <si>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</si>
  <si>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</si>
  <si>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</si>
  <si>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</si>
  <si>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</si>
  <si>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</si>
  <si>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</si>
  <si>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</si>
  <si>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</si>
  <si>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</si>
  <si>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</si>
  <si>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</si>
  <si>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</si>
  <si>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</si>
  <si>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</si>
  <si>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</si>
  <si>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</si>
  <si>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</si>
  <si>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</si>
  <si>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</si>
  <si>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</si>
  <si>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</si>
  <si>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</si>
  <si>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</si>
  <si>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</si>
  <si>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</si>
  <si>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</si>
  <si>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</si>
  <si>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</si>
  <si>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</si>
  <si>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</si>
  <si>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</si>
  <si>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</si>
  <si>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</si>
  <si>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</si>
  <si>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</si>
  <si>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</si>
  <si>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</si>
  <si>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</si>
  <si>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</si>
  <si>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</si>
  <si>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</si>
  <si>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</si>
  <si>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</si>
  <si>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</si>
  <si>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</si>
  <si>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</si>
  <si>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</si>
  <si>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</si>
  <si>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</si>
  <si>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</si>
  <si>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</si>
  <si>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</si>
  <si>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</si>
  <si>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</si>
  <si>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</si>
  <si>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</si>
  <si>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</si>
  <si>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</si>
  <si>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</si>
  <si>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</si>
  <si>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</si>
  <si>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</si>
  <si>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</si>
  <si>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</si>
  <si>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</si>
  <si>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</si>
  <si>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</si>
  <si>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</si>
  <si>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</si>
  <si>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</si>
  <si>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</si>
  <si>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</si>
  <si>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</si>
  <si>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</si>
  <si>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</si>
  <si>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</si>
  <si>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</si>
  <si>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</si>
  <si>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</si>
  <si>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</si>
  <si>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</si>
  <si>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</si>
  <si>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</si>
  <si>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</si>
  <si>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</si>
  <si>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</si>
  <si>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</si>
  <si>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</si>
  <si>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</si>
  <si>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</si>
  <si>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</si>
  <si>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</si>
  <si>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</si>
  <si>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</si>
  <si>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</si>
  <si>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</si>
  <si>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</si>
  <si>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</si>
  <si>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</si>
  <si>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</si>
  <si>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</si>
  <si>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</si>
  <si>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</si>
  <si>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</si>
  <si>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</si>
  <si>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</si>
  <si>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</si>
  <si>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</si>
  <si>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</si>
  <si>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</si>
  <si>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</si>
  <si>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</si>
  <si>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</si>
  <si>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</si>
  <si>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</si>
  <si>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</si>
  <si>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</si>
  <si>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</si>
  <si>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</si>
  <si>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</si>
  <si>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</si>
  <si>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</si>
  <si>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</si>
  <si>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</si>
  <si>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</si>
  <si>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</si>
  <si>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</si>
  <si>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</si>
  <si>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</si>
  <si>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</si>
  <si>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</si>
  <si>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</si>
  <si>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</si>
  <si>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</si>
  <si>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</si>
  <si>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</si>
  <si>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</si>
  <si>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</si>
  <si>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</si>
  <si>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</si>
  <si>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</si>
  <si>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</si>
  <si>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</si>
  <si>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</si>
  <si>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</si>
  <si>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</si>
  <si>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</si>
  <si>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</si>
  <si>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</si>
  <si>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</si>
  <si>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</si>
  <si>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</si>
  <si>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</si>
  <si>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</si>
  <si>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</si>
  <si>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</si>
  <si>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</si>
  <si>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</si>
  <si>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</si>
  <si>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</si>
  <si>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</si>
  <si>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</si>
  <si>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</si>
  <si>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</si>
  <si>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</si>
  <si>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</si>
  <si>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</si>
  <si>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</si>
  <si>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</si>
  <si>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</si>
  <si>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</si>
  <si>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</si>
  <si>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</si>
  <si>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</si>
  <si>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</si>
  <si>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</si>
  <si>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</si>
  <si>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</si>
  <si>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</si>
  <si>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</si>
  <si>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</si>
  <si>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</si>
  <si>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</si>
  <si>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</si>
  <si>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</si>
  <si>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</si>
  <si>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</si>
  <si>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</si>
  <si>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</si>
  <si>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</si>
  <si>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</si>
  <si>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</si>
  <si>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</si>
  <si>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</si>
  <si>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</si>
  <si>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</si>
  <si>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</si>
  <si>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</si>
  <si>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</si>
  <si>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</si>
  <si>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</si>
  <si>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</si>
  <si>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</si>
  <si>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</si>
  <si>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</si>
  <si>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</si>
  <si>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</si>
  <si>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</si>
  <si>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</si>
  <si>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</si>
  <si>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</si>
  <si>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</si>
  <si>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</si>
  <si>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</si>
  <si>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</si>
  <si>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</si>
  <si>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</si>
  <si>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</si>
  <si>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</si>
  <si>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</si>
  <si>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</si>
  <si>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</si>
  <si>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</si>
  <si>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</si>
  <si>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</si>
  <si>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</si>
  <si>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</si>
  <si>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</si>
  <si>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</si>
  <si>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</si>
  <si>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</si>
  <si>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</si>
  <si>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</si>
  <si>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</si>
  <si>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</si>
  <si>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</si>
  <si>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</si>
  <si>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</si>
  <si>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</si>
  <si>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</si>
  <si>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</si>
  <si>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</si>
  <si>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</si>
  <si>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</si>
  <si>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</si>
  <si>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</si>
  <si>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</si>
  <si>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</si>
  <si>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</si>
  <si>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</si>
  <si>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</si>
  <si>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</si>
  <si>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</si>
  <si>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</si>
  <si>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</si>
  <si>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</si>
  <si>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</si>
  <si>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</si>
  <si>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</si>
  <si>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</si>
  <si>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</si>
  <si>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</si>
  <si>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</si>
  <si>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</si>
  <si>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</si>
  <si>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</si>
  <si>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</si>
  <si>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</si>
  <si>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</si>
  <si>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</si>
  <si>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</si>
  <si>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</si>
  <si>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</si>
  <si>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</si>
  <si>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</si>
  <si>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</si>
  <si>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</si>
  <si>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</si>
  <si>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</si>
  <si>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</si>
  <si>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</si>
  <si>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</si>
  <si>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</si>
  <si>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</si>
  <si>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</si>
  <si>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</si>
  <si>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</si>
  <si>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</si>
  <si>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</si>
  <si>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</si>
  <si>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</si>
  <si>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</si>
  <si>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</si>
  <si>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</si>
  <si>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</si>
  <si>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</si>
  <si>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</si>
  <si>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</si>
  <si>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</si>
  <si>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</si>
  <si>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</si>
  <si>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</si>
  <si>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</si>
  <si>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</si>
  <si>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</si>
  <si>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</si>
  <si>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</si>
  <si>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</si>
  <si>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</si>
  <si>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</si>
  <si>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</si>
  <si>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</si>
  <si>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</si>
  <si>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</si>
  <si>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</si>
  <si>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</si>
  <si>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</si>
  <si>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</si>
  <si>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</si>
  <si>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</si>
  <si>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</si>
  <si>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</si>
  <si>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</si>
  <si>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</si>
  <si>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</si>
  <si>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</si>
  <si>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</si>
  <si>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</si>
  <si>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</si>
  <si>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</si>
  <si>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</si>
  <si>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</si>
  <si>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</si>
  <si>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</si>
  <si>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</si>
  <si>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</si>
  <si>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</si>
  <si>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</si>
  <si>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</si>
  <si>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</si>
  <si>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</si>
  <si>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</si>
  <si>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</si>
  <si>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</si>
  <si>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</si>
  <si>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</si>
  <si>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</si>
  <si>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</si>
  <si>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</si>
  <si>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</si>
  <si>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</si>
  <si>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</si>
  <si>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</si>
  <si>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</si>
  <si>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</si>
  <si>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</si>
  <si>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</si>
  <si>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</si>
  <si>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</si>
  <si>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</si>
  <si>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</si>
  <si>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</si>
  <si>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</si>
  <si>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</si>
  <si>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</si>
  <si>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</si>
  <si>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</si>
  <si>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</si>
  <si>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</si>
  <si>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</si>
  <si>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</si>
  <si>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</si>
  <si>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</si>
  <si>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</si>
  <si>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</si>
  <si>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</si>
  <si>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</si>
  <si>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</si>
  <si>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</si>
  <si>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</si>
  <si>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</si>
  <si>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</si>
  <si>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</si>
  <si>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</si>
  <si>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</si>
  <si>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</si>
  <si>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</si>
  <si>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</si>
  <si>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</si>
  <si>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</si>
  <si>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</si>
  <si>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</si>
  <si>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</si>
  <si>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</si>
  <si>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</si>
  <si>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</si>
  <si>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</si>
  <si>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</si>
  <si>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</si>
  <si>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</si>
  <si>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</si>
  <si>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</si>
  <si>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</si>
  <si>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</si>
  <si>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</si>
  <si>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</si>
  <si>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</si>
  <si>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</si>
  <si>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</si>
  <si>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</si>
  <si>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</si>
  <si>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</si>
  <si>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</si>
  <si>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</si>
  <si>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</si>
  <si>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</si>
  <si>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</si>
  <si>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</si>
  <si>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</si>
  <si>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</si>
  <si>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</si>
  <si>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</si>
  <si>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</si>
  <si>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</si>
  <si>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</si>
  <si>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</si>
  <si>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</si>
  <si>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</si>
  <si>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</si>
  <si>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</si>
  <si>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</si>
  <si>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</si>
  <si>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</si>
  <si>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</si>
  <si>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</si>
  <si>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</si>
  <si>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</si>
  <si>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</si>
  <si>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</si>
  <si>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</si>
  <si>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</si>
  <si>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</si>
  <si>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</si>
  <si>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</si>
  <si>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</si>
  <si>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</si>
  <si>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</si>
  <si>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</si>
  <si>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</si>
  <si>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</si>
  <si>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</si>
  <si>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</si>
  <si>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</si>
  <si>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</si>
  <si>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</si>
  <si>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</si>
  <si>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</si>
  <si>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</si>
  <si>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</si>
  <si>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</si>
  <si>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</si>
  <si>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</si>
  <si>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</si>
  <si>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</si>
  <si>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</si>
  <si>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</si>
  <si>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</si>
  <si>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</si>
  <si>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</si>
  <si>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</si>
  <si>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</si>
  <si>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</si>
  <si>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</si>
  <si>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</si>
  <si>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</si>
  <si>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</si>
  <si>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</si>
  <si>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</si>
  <si>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</si>
  <si>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</si>
  <si>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</si>
  <si>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</si>
  <si>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</si>
  <si>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</si>
  <si>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</si>
  <si>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</si>
  <si>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</si>
  <si>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</si>
  <si>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</si>
  <si>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</si>
  <si>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</si>
  <si>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</si>
  <si>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</si>
  <si>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</si>
  <si>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</si>
  <si>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</si>
  <si>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</si>
  <si>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</si>
  <si>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</si>
  <si>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</si>
  <si>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</si>
  <si>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</si>
  <si>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</si>
  <si>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</si>
  <si>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</si>
  <si>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</si>
  <si>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</si>
  <si>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</si>
  <si>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</si>
  <si>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</si>
  <si>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</si>
  <si>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</si>
  <si>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</si>
  <si>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</si>
  <si>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</si>
  <si>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</si>
  <si>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</si>
  <si>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</si>
  <si>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</si>
  <si>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</si>
  <si>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</si>
  <si>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</si>
  <si>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</si>
  <si>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</si>
  <si>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</si>
  <si>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</si>
  <si>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</si>
  <si>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</si>
  <si>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</si>
  <si>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</si>
  <si>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</si>
  <si>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</si>
  <si>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</si>
  <si>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</si>
  <si>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</si>
  <si>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</si>
  <si>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</si>
  <si>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</si>
  <si>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</si>
  <si>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</si>
  <si>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</si>
  <si>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</si>
  <si>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</si>
  <si>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</si>
  <si>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</si>
  <si>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</si>
  <si>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</si>
  <si>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</si>
  <si>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</si>
  <si>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</si>
  <si>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</si>
  <si>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</si>
  <si>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</si>
  <si>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</si>
  <si>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</si>
  <si>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</si>
  <si>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</si>
  <si>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</si>
  <si>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</si>
  <si>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</si>
  <si>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</si>
  <si>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</si>
  <si>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</si>
  <si>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</si>
  <si>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</si>
  <si>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</si>
  <si>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</si>
  <si>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</si>
  <si>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</si>
  <si>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</si>
  <si>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</si>
  <si>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</si>
  <si>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</si>
  <si>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</si>
  <si>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</si>
  <si>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</si>
  <si>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</si>
  <si>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</si>
  <si>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</si>
  <si>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</si>
  <si>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</si>
  <si>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</si>
  <si>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</si>
  <si>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</si>
  <si>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</si>
  <si>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</si>
  <si>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</si>
  <si>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</si>
  <si>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</si>
  <si>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</si>
  <si>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</si>
  <si>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</si>
  <si>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</si>
  <si>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</si>
  <si>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</si>
  <si>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</si>
  <si>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</si>
  <si>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</si>
  <si>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</si>
  <si>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</si>
  <si>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</si>
  <si>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</si>
  <si>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</si>
  <si>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</si>
  <si>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</si>
  <si>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</si>
  <si>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</si>
  <si>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</si>
  <si>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</si>
  <si>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</si>
  <si>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</si>
  <si>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</si>
  <si>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</si>
  <si>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</si>
  <si>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</si>
  <si>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</si>
  <si>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</si>
  <si>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</si>
  <si>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</si>
  <si>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</si>
  <si>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</si>
  <si>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</si>
  <si>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</si>
  <si>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</si>
  <si>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</si>
  <si>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</si>
  <si>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</si>
  <si>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</si>
  <si>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</si>
  <si>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</si>
  <si>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</si>
  <si>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</si>
  <si>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</si>
  <si>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</si>
  <si>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</si>
  <si>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</si>
  <si>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</si>
  <si>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</si>
  <si>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</si>
  <si>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</si>
  <si>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</si>
  <si>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</si>
  <si>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</si>
  <si>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</si>
  <si>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</si>
  <si>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</si>
  <si>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</si>
  <si>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</si>
  <si>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</si>
  <si>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</si>
  <si>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</si>
  <si>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</si>
  <si>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</si>
  <si>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</si>
  <si>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</si>
  <si>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</si>
  <si>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</si>
  <si>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</si>
  <si>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</si>
  <si>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</si>
  <si>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</si>
  <si>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</si>
  <si>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</si>
  <si>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</si>
  <si>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</si>
  <si>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</si>
  <si>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</si>
  <si>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</si>
  <si>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</si>
  <si>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</si>
  <si>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</si>
  <si>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</si>
  <si>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</si>
  <si>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</si>
  <si>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</si>
  <si>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</si>
  <si>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</si>
  <si>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</si>
  <si>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</si>
  <si>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</si>
  <si>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</si>
  <si>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</si>
  <si>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</si>
  <si>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</si>
  <si>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</si>
  <si>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</si>
  <si>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</si>
  <si>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</si>
  <si>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</si>
  <si>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</si>
  <si>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</si>
  <si>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</si>
  <si>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</si>
  <si>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</si>
  <si>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</si>
  <si>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</si>
  <si>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</si>
  <si>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</si>
  <si>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</si>
  <si>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</si>
  <si>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</si>
  <si>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</si>
  <si>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</si>
  <si>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</si>
  <si>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</si>
  <si>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</si>
  <si>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</si>
  <si>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</si>
  <si>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</si>
  <si>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</si>
  <si>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</si>
  <si>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</si>
  <si>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</si>
  <si>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</si>
  <si>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</si>
  <si>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</si>
  <si>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</si>
  <si>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</si>
  <si>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</si>
  <si>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</si>
  <si>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</si>
  <si>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</si>
  <si>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</si>
  <si>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</si>
  <si>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</si>
  <si>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</si>
  <si>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</si>
  <si>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</si>
  <si>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</si>
  <si>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</si>
  <si>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</si>
  <si>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</si>
  <si>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</si>
  <si>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</si>
  <si>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</si>
  <si>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</si>
  <si>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</si>
  <si>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</si>
  <si>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</si>
  <si>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</si>
  <si>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</si>
  <si>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</si>
  <si>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</si>
  <si>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</si>
  <si>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</si>
  <si>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</si>
  <si>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</si>
  <si>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</si>
  <si>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</si>
  <si>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</si>
  <si>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</si>
  <si>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</si>
  <si>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</si>
  <si>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</si>
  <si>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</si>
  <si>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</si>
  <si>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</si>
  <si>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</si>
  <si>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</si>
  <si>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</si>
  <si>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</si>
  <si>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</si>
  <si>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</si>
  <si>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</si>
  <si>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</si>
  <si>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</si>
  <si>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</si>
  <si>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</si>
  <si>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</si>
  <si>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</si>
  <si>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</si>
  <si>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</si>
  <si>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</si>
  <si>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</si>
  <si>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</si>
  <si>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</si>
  <si>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</si>
  <si>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</si>
  <si>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</si>
  <si>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</si>
  <si>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</si>
  <si>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</si>
  <si>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</si>
  <si>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</si>
  <si>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</si>
  <si>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</si>
  <si>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</si>
  <si>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</si>
  <si>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</si>
  <si>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</si>
  <si>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</si>
  <si>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</si>
  <si>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</si>
  <si>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</si>
  <si>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</si>
  <si>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</si>
  <si>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</si>
  <si>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</si>
  <si>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</si>
  <si>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</si>
  <si>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</si>
  <si>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</si>
  <si>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</si>
  <si>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</si>
  <si>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</si>
  <si>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</si>
  <si>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</si>
  <si>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</si>
  <si>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</si>
  <si>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</si>
  <si>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</si>
  <si>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</si>
  <si>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</si>
  <si>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</si>
  <si>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</si>
  <si>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</si>
  <si>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</si>
  <si>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</si>
  <si>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</si>
  <si>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</si>
  <si>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</si>
  <si>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</si>
  <si>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</si>
  <si>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</si>
  <si>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</si>
  <si>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</si>
  <si>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</si>
  <si>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</si>
  <si>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</si>
  <si>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</si>
  <si>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</si>
  <si>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</si>
  <si>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</si>
  <si>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</si>
  <si>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</si>
  <si>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</si>
  <si>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</si>
  <si>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</si>
  <si>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</si>
  <si>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</si>
  <si>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</si>
  <si>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</si>
  <si>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</si>
  <si>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</si>
  <si>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</si>
  <si>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</si>
  <si>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</si>
  <si>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</si>
  <si>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</si>
  <si>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</si>
  <si>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</si>
  <si>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</si>
  <si>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</si>
  <si>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</si>
  <si>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</si>
  <si>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</si>
  <si>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</si>
  <si>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</si>
  <si>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</si>
  <si>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</si>
  <si>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</si>
  <si>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</si>
  <si>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</si>
  <si>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</si>
  <si>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</si>
  <si>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</si>
  <si>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</si>
  <si>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</si>
  <si>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</si>
  <si>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</si>
  <si>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</si>
  <si>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</si>
  <si>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</si>
  <si>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</si>
  <si>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</si>
  <si>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</si>
  <si>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</si>
  <si>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</si>
  <si>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</si>
  <si>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</si>
  <si>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</si>
  <si>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</si>
  <si>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</si>
  <si>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</si>
  <si>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</si>
  <si>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</si>
  <si>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</si>
  <si>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</si>
  <si>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</si>
  <si>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</si>
  <si>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</si>
  <si>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</si>
  <si>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</si>
  <si>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</si>
  <si>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</si>
  <si>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</si>
  <si>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</si>
  <si>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</si>
  <si>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</si>
  <si>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</si>
  <si>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</si>
  <si>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</si>
  <si>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</si>
  <si>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</si>
  <si>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</si>
  <si>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</si>
  <si>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</si>
  <si>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</si>
  <si>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</si>
  <si>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</si>
  <si>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</si>
  <si>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</si>
  <si>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</si>
  <si>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</si>
  <si>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</si>
  <si>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</si>
  <si>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</si>
  <si>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</si>
  <si>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</si>
  <si>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</si>
  <si>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</si>
  <si>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</si>
  <si>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</si>
  <si>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</si>
  <si>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</si>
  <si>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</si>
  <si>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</si>
  <si>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</si>
  <si>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</si>
  <si>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</si>
  <si>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</si>
  <si>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</si>
  <si>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</si>
  <si>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</si>
  <si>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</si>
  <si>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</si>
  <si>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</si>
  <si>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</si>
  <si>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</si>
  <si>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</si>
  <si>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</si>
  <si>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</si>
  <si>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</si>
  <si>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</si>
  <si>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</si>
  <si>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</si>
  <si>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</si>
  <si>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</si>
  <si>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</si>
  <si>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</si>
  <si>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</si>
  <si>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</si>
  <si>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</si>
  <si>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</si>
  <si>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</si>
  <si>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</si>
  <si>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</si>
  <si>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</si>
  <si>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</si>
  <si>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</si>
  <si>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</si>
  <si>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</si>
  <si>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</si>
  <si>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</si>
  <si>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</si>
  <si>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</si>
  <si>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</si>
  <si>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</si>
  <si>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</si>
  <si>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</si>
  <si>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</si>
  <si>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</si>
  <si>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</si>
  <si>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</si>
  <si>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</si>
  <si>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</si>
  <si>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</si>
  <si>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</si>
  <si>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</si>
  <si>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</si>
  <si>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</si>
  <si>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</si>
  <si>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</si>
  <si>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</si>
  <si>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</si>
  <si>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</si>
  <si>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</si>
  <si>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</si>
  <si>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</si>
  <si>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</si>
  <si>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</si>
  <si>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</si>
  <si>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</si>
  <si>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</si>
  <si>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</si>
  <si>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</si>
  <si>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</si>
  <si>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</si>
  <si>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</si>
  <si>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</si>
  <si>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</si>
  <si>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</si>
  <si>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</si>
  <si>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</si>
  <si>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</si>
  <si>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</si>
  <si>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</si>
  <si>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</si>
  <si>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</si>
  <si>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</si>
  <si>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</si>
  <si>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</si>
  <si>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</si>
  <si>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</si>
  <si>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</si>
  <si>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</si>
  <si>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</si>
  <si>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</si>
  <si>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</si>
  <si>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</si>
  <si>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</si>
  <si>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</si>
  <si>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</si>
  <si>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</si>
  <si>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</si>
  <si>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</si>
  <si>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</si>
  <si>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</si>
  <si>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</si>
  <si>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</si>
  <si>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</si>
  <si>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</si>
  <si>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</si>
  <si>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</si>
  <si>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</si>
  <si>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</si>
  <si>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</si>
  <si>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</si>
  <si>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</si>
  <si>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</si>
  <si>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</si>
  <si>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</si>
  <si>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</si>
  <si>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</si>
  <si>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</si>
  <si>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</si>
  <si>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</si>
  <si>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</si>
  <si>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</si>
  <si>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</si>
  <si>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</si>
  <si>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</si>
  <si>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</si>
  <si>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</si>
  <si>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</si>
  <si>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</si>
  <si>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</si>
  <si>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</si>
  <si>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</si>
  <si>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</si>
  <si>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</si>
  <si>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</si>
  <si>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</si>
  <si>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</si>
  <si>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</si>
  <si>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</si>
  <si>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</si>
  <si>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</si>
  <si>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</si>
  <si>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</si>
  <si>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</si>
  <si>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</si>
  <si>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</si>
  <si>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</si>
  <si>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</si>
  <si>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</si>
  <si>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</si>
  <si>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</si>
  <si>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</si>
  <si>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</si>
  <si>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</si>
  <si>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</si>
  <si>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</si>
  <si>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</si>
  <si>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</si>
  <si>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</si>
  <si>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</si>
  <si>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</si>
  <si>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</si>
  <si>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</si>
  <si>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</si>
  <si>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</si>
  <si>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</si>
  <si>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</si>
  <si>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</si>
  <si>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</si>
  <si>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</si>
  <si>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</si>
  <si>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</si>
  <si>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</si>
  <si>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</si>
  <si>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</si>
  <si>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</si>
  <si>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</si>
  <si>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</si>
  <si>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</si>
  <si>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</si>
  <si>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</si>
  <si>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</si>
  <si>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</si>
  <si>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</si>
  <si>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</si>
  <si>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</si>
  <si>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</si>
  <si>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</si>
  <si>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</si>
  <si>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</si>
  <si>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</si>
  <si>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</si>
  <si>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</si>
  <si>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</si>
  <si>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</si>
  <si>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</si>
  <si>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</si>
  <si>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</si>
  <si>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</si>
  <si>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</si>
  <si>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</si>
  <si>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</si>
  <si>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</si>
  <si>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</si>
  <si>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</si>
  <si>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</si>
  <si>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</si>
  <si>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</si>
  <si>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</si>
  <si>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</si>
  <si>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</si>
  <si>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</si>
  <si>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</si>
  <si>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</si>
  <si>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</si>
  <si>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</si>
  <si>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</si>
  <si>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</si>
  <si>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</si>
  <si>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</si>
  <si>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</si>
  <si>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</si>
  <si>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</si>
  <si>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</si>
  <si>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</si>
  <si>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</si>
  <si>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</si>
  <si>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</si>
  <si>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</si>
  <si>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</si>
  <si>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</si>
  <si>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</si>
  <si>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</si>
  <si>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</si>
  <si>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</si>
  <si>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</si>
  <si>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</si>
  <si>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</si>
  <si>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</si>
  <si>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</si>
  <si>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</si>
  <si>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</si>
  <si>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</si>
  <si>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</si>
  <si>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</si>
  <si>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</si>
  <si>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</si>
  <si>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</si>
  <si>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</si>
  <si>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</si>
  <si>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</si>
  <si>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</si>
  <si>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</si>
  <si>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</si>
  <si>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</si>
  <si>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</si>
  <si>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</si>
  <si>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</si>
  <si>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</si>
  <si>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</si>
  <si>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</si>
  <si>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</si>
  <si>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</si>
  <si>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</si>
  <si>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</si>
  <si>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</si>
  <si>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</si>
  <si>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</si>
  <si>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</si>
  <si>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</si>
  <si>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</si>
  <si>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</si>
  <si>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</si>
  <si>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</si>
  <si>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</si>
  <si>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</si>
  <si>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</si>
  <si>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</si>
  <si>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</si>
  <si>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</si>
  <si>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</si>
  <si>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</si>
  <si>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</si>
  <si>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</si>
  <si>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</si>
  <si>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</si>
  <si>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</si>
  <si>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</si>
  <si>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</si>
  <si>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</si>
  <si>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</si>
  <si>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</si>
  <si>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</si>
  <si>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</si>
  <si>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</si>
  <si>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</si>
  <si>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</si>
  <si>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</si>
  <si>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</si>
  <si>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</si>
  <si>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</si>
  <si>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</si>
  <si>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</si>
  <si>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</si>
  <si>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</si>
  <si>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</si>
  <si>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</si>
  <si>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</si>
  <si>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</si>
  <si>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</si>
  <si>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</si>
  <si>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</si>
  <si>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</si>
  <si>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</si>
  <si>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</si>
  <si>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</si>
  <si>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</si>
  <si>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</si>
  <si>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</si>
  <si>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</si>
  <si>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</si>
  <si>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</si>
  <si>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</si>
  <si>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</si>
  <si>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</si>
  <si>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</si>
  <si>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</si>
  <si>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</si>
  <si>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</si>
  <si>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</si>
  <si>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</si>
  <si>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</si>
  <si>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</si>
  <si>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</si>
  <si>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</si>
  <si>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</si>
  <si>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</si>
  <si>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</si>
  <si>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</si>
  <si>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</si>
  <si>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</si>
  <si>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</si>
  <si>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</si>
  <si>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</si>
  <si>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</si>
  <si>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</si>
  <si>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</si>
  <si>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</si>
  <si>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</si>
  <si>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</si>
  <si>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</si>
  <si>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</si>
  <si>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</si>
  <si>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</si>
  <si>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</si>
  <si>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</si>
  <si>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</si>
  <si>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</si>
  <si>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</si>
  <si>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</si>
  <si>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</si>
  <si>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</si>
  <si>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</si>
  <si>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</si>
  <si>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</si>
  <si>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</si>
  <si>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</si>
  <si>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</si>
  <si>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</si>
  <si>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</si>
  <si>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</si>
  <si>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</si>
  <si>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</si>
  <si>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</si>
  <si>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</si>
  <si>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</si>
  <si>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</si>
  <si>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</si>
  <si>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</si>
  <si>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</si>
  <si>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</si>
  <si>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</si>
  <si>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</si>
  <si>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</si>
  <si>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</si>
  <si>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</si>
  <si>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</si>
  <si>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</si>
  <si>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</si>
  <si>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</si>
  <si>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</si>
  <si>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</si>
  <si>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</si>
  <si>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</si>
  <si>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</si>
  <si>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</si>
  <si>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</si>
  <si>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</si>
  <si>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</si>
  <si>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</si>
  <si>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</si>
  <si>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</si>
  <si>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</si>
  <si>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</si>
  <si>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</si>
  <si>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</si>
  <si>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</si>
  <si>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</si>
  <si>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</si>
  <si>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</si>
  <si>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</si>
  <si>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</si>
  <si>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</si>
  <si>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</si>
  <si>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</si>
  <si>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</si>
  <si>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</si>
  <si>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</si>
  <si>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</si>
  <si>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</si>
  <si>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</si>
  <si>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</si>
  <si>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</si>
  <si>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</si>
  <si>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</si>
  <si>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</si>
  <si>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</si>
  <si>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</si>
  <si>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</si>
  <si>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</si>
  <si>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</si>
  <si>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</si>
  <si>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</si>
  <si>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</si>
  <si>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</si>
  <si>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</si>
  <si>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</si>
  <si>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</si>
  <si>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</si>
  <si>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</si>
  <si>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</si>
  <si>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</si>
  <si>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</si>
  <si>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</si>
  <si>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</si>
  <si>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</si>
  <si>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</si>
  <si>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</si>
  <si>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</si>
  <si>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</si>
  <si>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</si>
  <si>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</si>
  <si>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</si>
  <si>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</si>
  <si>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</si>
  <si>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</si>
  <si>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</si>
  <si>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</si>
  <si>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</si>
  <si>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</si>
  <si>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</si>
  <si>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</si>
  <si>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</si>
  <si>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</si>
  <si>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</si>
  <si>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</si>
  <si>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</si>
  <si>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</si>
  <si>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</si>
  <si>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</si>
  <si>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</si>
  <si>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</si>
  <si>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</si>
  <si>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</si>
  <si>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</si>
  <si>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</si>
  <si>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</si>
  <si>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</si>
  <si>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</si>
  <si>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</si>
  <si>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</si>
  <si>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</si>
  <si>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</si>
  <si>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</si>
  <si>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</si>
  <si>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</si>
  <si>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</si>
  <si>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</si>
  <si>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</si>
  <si>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</si>
  <si>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</si>
  <si>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</si>
  <si>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</si>
  <si>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</si>
  <si>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</si>
  <si>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</si>
  <si>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</si>
  <si>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</si>
  <si>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</si>
  <si>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</si>
  <si>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</si>
  <si>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</si>
  <si>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</si>
  <si>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</si>
  <si>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</si>
  <si>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</si>
  <si>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</si>
  <si>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</si>
  <si>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</si>
  <si>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</si>
  <si>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</si>
  <si>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</si>
  <si>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</si>
  <si>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</si>
  <si>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</si>
  <si>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</si>
  <si>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</si>
  <si>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</si>
  <si>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</si>
  <si>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</si>
  <si>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</si>
  <si>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</si>
  <si>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</si>
  <si>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</si>
  <si>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</si>
  <si>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</si>
  <si>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</si>
  <si>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</si>
  <si>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</si>
  <si>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</si>
  <si>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</si>
  <si>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</si>
  <si>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</si>
  <si>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</si>
  <si>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</si>
  <si>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</si>
  <si>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</si>
  <si>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</si>
  <si>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</si>
  <si>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</si>
  <si>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</si>
  <si>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</si>
  <si>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</si>
  <si>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</si>
  <si>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</si>
  <si>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</si>
  <si>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</si>
  <si>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</si>
  <si>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</si>
  <si>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</si>
  <si>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</si>
  <si>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</si>
  <si>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</si>
  <si>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</si>
  <si>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</si>
  <si>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</si>
  <si>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</si>
  <si>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</si>
  <si>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</si>
  <si>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</si>
  <si>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</si>
  <si>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</si>
  <si>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</si>
  <si>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</si>
  <si>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</si>
  <si>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</si>
  <si>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</si>
  <si>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</si>
  <si>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</si>
  <si>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</si>
  <si>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</si>
  <si>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</si>
  <si>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</si>
  <si>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</si>
  <si>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</si>
  <si>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</si>
  <si>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</si>
  <si>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</si>
  <si>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</si>
  <si>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</si>
  <si>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</si>
  <si>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</si>
  <si>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</si>
  <si>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</si>
  <si>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</si>
  <si>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</si>
  <si>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</si>
  <si>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</si>
  <si>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</si>
  <si>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</si>
  <si>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</si>
  <si>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</si>
  <si>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</si>
  <si>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</si>
  <si>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</si>
  <si>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</si>
  <si>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</si>
  <si>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</si>
  <si>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</si>
  <si>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</si>
  <si>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</si>
  <si>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</si>
  <si>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</si>
  <si>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</si>
  <si>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</si>
  <si>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</si>
  <si>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</si>
  <si>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</si>
  <si>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</si>
  <si>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</si>
  <si>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</si>
  <si>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</si>
  <si>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</si>
  <si>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</si>
  <si>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</si>
  <si>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</si>
  <si>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</si>
  <si>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</si>
  <si>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</si>
  <si>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</si>
  <si>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</si>
  <si>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</si>
  <si>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</si>
  <si>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</si>
  <si>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</si>
  <si>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</si>
  <si>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</si>
  <si>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</si>
  <si>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</si>
  <si>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</si>
  <si>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</si>
  <si>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</si>
  <si>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</si>
  <si>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</si>
  <si>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</si>
  <si>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</si>
  <si>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</si>
  <si>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</si>
  <si>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</si>
  <si>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</si>
  <si>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</si>
  <si>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</si>
  <si>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</si>
  <si>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</si>
  <si>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</si>
  <si>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</si>
  <si>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</si>
  <si>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</si>
  <si>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</si>
  <si>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</si>
  <si>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</si>
  <si>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</si>
  <si>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</si>
  <si>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</si>
  <si>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</si>
  <si>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</si>
  <si>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</si>
  <si>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</si>
  <si>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</si>
  <si>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</si>
  <si>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</si>
  <si>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</si>
  <si>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</si>
  <si>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</si>
  <si>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</si>
  <si>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</si>
  <si>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</si>
  <si>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</si>
  <si>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</si>
  <si>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</si>
  <si>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</si>
  <si>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</si>
  <si>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</si>
  <si>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</si>
  <si>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</si>
  <si>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</si>
  <si>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</si>
  <si>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</si>
  <si>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</si>
  <si>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</si>
  <si>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</si>
  <si>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</si>
  <si>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</si>
  <si>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</si>
  <si>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</si>
  <si>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</si>
  <si>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</si>
  <si>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</si>
  <si>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</si>
  <si>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</si>
  <si>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</si>
  <si>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</si>
  <si>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</si>
  <si>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</si>
  <si>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</si>
  <si>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</si>
  <si>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</si>
  <si>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</si>
  <si>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</si>
  <si>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</si>
  <si>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</si>
  <si>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</si>
  <si>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</si>
  <si>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</si>
  <si>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</si>
  <si>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</si>
  <si>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</si>
  <si>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</si>
  <si>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</si>
  <si>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</si>
  <si>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</si>
  <si>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</si>
  <si>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</si>
  <si>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</si>
  <si>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</si>
  <si>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</si>
  <si>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</si>
  <si>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</si>
  <si>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</si>
  <si>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</si>
  <si>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</si>
  <si>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</si>
  <si>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</si>
  <si>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</si>
  <si>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</si>
  <si>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</si>
  <si>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</si>
  <si>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</si>
  <si>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</si>
  <si>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</si>
  <si>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</si>
  <si>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</si>
  <si>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</si>
  <si>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</si>
  <si>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</si>
  <si>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</si>
  <si>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</si>
  <si>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</si>
  <si>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</si>
  <si>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</si>
  <si>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</si>
  <si>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</si>
  <si>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</si>
  <si>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</si>
  <si>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</si>
  <si>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</si>
  <si>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</si>
  <si>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</si>
  <si>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</si>
  <si>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</si>
  <si>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</si>
  <si>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</si>
  <si>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</si>
  <si>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</si>
  <si>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</si>
  <si>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</si>
  <si>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</si>
  <si>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</si>
  <si>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</si>
  <si>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</si>
  <si>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</si>
  <si>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</si>
  <si>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</si>
  <si>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</si>
  <si>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</si>
  <si>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</si>
  <si>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</si>
  <si>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</si>
  <si>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</si>
  <si>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</si>
  <si>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</si>
  <si>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</si>
  <si>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</si>
  <si>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</si>
  <si>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</si>
  <si>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</si>
  <si>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</si>
  <si>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</si>
  <si>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</si>
  <si>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</si>
  <si>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</si>
  <si>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</si>
  <si>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</si>
  <si>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</si>
  <si>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</si>
  <si>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</si>
  <si>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</si>
  <si>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</si>
  <si>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</si>
  <si>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</si>
  <si>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</si>
  <si>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</si>
  <si>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</si>
  <si>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</si>
  <si>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</si>
  <si>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</si>
  <si>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</si>
  <si>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</si>
  <si>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</si>
  <si>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</si>
  <si>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</si>
  <si>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</si>
  <si>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</si>
  <si>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</si>
  <si>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</si>
  <si>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</si>
  <si>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</si>
  <si>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</si>
  <si>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</si>
  <si>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</si>
  <si>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</si>
  <si>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</si>
  <si>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</si>
  <si>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</si>
  <si>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</si>
  <si>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</si>
  <si>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</si>
  <si>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</si>
  <si>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</si>
  <si>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</si>
  <si>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</si>
  <si>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</si>
  <si>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</si>
  <si>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</si>
  <si>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</si>
  <si>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</si>
  <si>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</si>
  <si>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</si>
  <si>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</si>
  <si>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</si>
  <si>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</si>
  <si>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</si>
  <si>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</si>
  <si>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</si>
  <si>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</si>
  <si>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</si>
  <si>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</si>
  <si>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</si>
  <si>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</si>
  <si>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</si>
  <si>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</si>
  <si>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</si>
  <si>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</si>
  <si>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</si>
  <si>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</si>
  <si>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</si>
  <si>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</si>
  <si>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</si>
  <si>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</si>
  <si>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</si>
  <si>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</si>
  <si>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</si>
  <si>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</si>
  <si>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</si>
  <si>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</si>
  <si>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</si>
  <si>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</si>
  <si>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</si>
  <si>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</si>
  <si>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</si>
  <si>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</si>
  <si>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</si>
  <si>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</si>
  <si>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</si>
  <si>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</si>
  <si>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</si>
  <si>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</si>
  <si>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</si>
  <si>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</si>
  <si>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</si>
  <si>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</si>
  <si>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</si>
  <si>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</si>
  <si>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</si>
  <si>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</si>
  <si>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</si>
  <si>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</si>
  <si>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</si>
  <si>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</si>
  <si>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</si>
  <si>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</si>
  <si>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</si>
  <si>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</si>
  <si>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</si>
  <si>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</si>
  <si>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</si>
  <si>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</si>
  <si>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</si>
  <si>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</si>
  <si>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</si>
  <si>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</si>
  <si>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</si>
  <si>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</si>
  <si>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</si>
  <si>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</si>
  <si>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</si>
  <si>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</si>
  <si>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</si>
  <si>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</si>
  <si>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</si>
  <si>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</si>
  <si>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</si>
  <si>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</si>
  <si>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</si>
  <si>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</si>
  <si>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</si>
  <si>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</si>
  <si>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</si>
  <si>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</si>
  <si>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</si>
  <si>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</si>
  <si>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</si>
  <si>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</si>
  <si>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</si>
  <si>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</si>
  <si>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</si>
  <si>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</si>
  <si>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</si>
  <si>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</si>
  <si>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</si>
  <si>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</si>
  <si>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</si>
  <si>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</si>
  <si>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</si>
  <si>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</si>
  <si>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</si>
  <si>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</si>
  <si>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</si>
  <si>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</si>
  <si>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</si>
  <si>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</si>
  <si>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</si>
  <si>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</si>
  <si>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</si>
  <si>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</si>
  <si>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</si>
  <si>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</si>
  <si>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</si>
  <si>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</si>
  <si>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</si>
  <si>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</si>
  <si>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</si>
  <si>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</si>
  <si>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</si>
  <si>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</si>
  <si>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</si>
  <si>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</si>
  <si>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</si>
  <si>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</si>
  <si>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</si>
  <si>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</si>
  <si>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</si>
  <si>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</si>
  <si>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</si>
  <si>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</si>
  <si>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</si>
  <si>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</si>
  <si>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</si>
  <si>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</si>
  <si>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</si>
  <si>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</si>
  <si>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</si>
  <si>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</si>
  <si>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</si>
  <si>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</si>
  <si>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</si>
  <si>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</si>
  <si>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</si>
  <si>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</si>
  <si>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</si>
  <si>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</si>
  <si>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</si>
  <si>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</si>
  <si>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</si>
  <si>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</si>
  <si>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</si>
  <si>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</si>
  <si>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</si>
  <si>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</si>
  <si>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</si>
  <si>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</si>
  <si>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</si>
  <si>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</si>
  <si>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</si>
  <si>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</si>
  <si>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</si>
  <si>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</si>
  <si>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</si>
  <si>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</si>
  <si>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</si>
  <si>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</si>
  <si>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</si>
  <si>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</si>
  <si>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</si>
  <si>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</si>
  <si>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</si>
  <si>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</si>
  <si>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</si>
  <si>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</si>
  <si>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</si>
  <si>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</si>
  <si>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</si>
  <si>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</si>
  <si>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</si>
  <si>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</si>
  <si>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</si>
  <si>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</si>
  <si>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</si>
  <si>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</si>
  <si>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</si>
  <si>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</si>
  <si>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</si>
  <si>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</si>
  <si>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</si>
  <si>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</si>
  <si>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</si>
  <si>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</si>
  <si>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</si>
  <si>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</si>
  <si>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</si>
  <si>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</si>
  <si>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</si>
  <si>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</si>
  <si>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</si>
  <si>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</si>
  <si>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</si>
  <si>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</si>
  <si>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</si>
  <si>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</si>
  <si>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</si>
  <si>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</si>
  <si>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</si>
  <si>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</si>
  <si>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</si>
  <si>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</si>
  <si>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</si>
  <si>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</si>
  <si>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</si>
  <si>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</si>
  <si>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</si>
  <si>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</si>
  <si>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</si>
  <si>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</si>
  <si>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</si>
  <si>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</si>
  <si>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</si>
  <si>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</si>
  <si>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</si>
  <si>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</si>
  <si>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</si>
  <si>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</si>
  <si>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</si>
  <si>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</si>
  <si>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</si>
  <si>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</si>
  <si>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</si>
  <si>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</si>
  <si>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</si>
  <si>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</si>
  <si>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</si>
  <si>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</si>
  <si>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</si>
  <si>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</si>
  <si>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</si>
  <si>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</si>
  <si>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</si>
  <si>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</si>
  <si>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</si>
  <si>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</si>
  <si>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</si>
  <si>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</si>
  <si>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</si>
  <si>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</si>
  <si>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</si>
  <si>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</si>
  <si>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</si>
  <si>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</si>
  <si>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</si>
  <si>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</si>
  <si>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</si>
  <si>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</si>
  <si>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</si>
  <si>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</si>
  <si>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</si>
  <si>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</si>
  <si>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</si>
  <si>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</si>
  <si>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</si>
  <si>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</si>
  <si>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</si>
  <si>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</si>
  <si>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</si>
  <si>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</si>
  <si>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</si>
  <si>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</si>
  <si>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</si>
  <si>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</si>
  <si>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</si>
  <si>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</si>
  <si>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</si>
  <si>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</si>
  <si>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</si>
  <si>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</si>
  <si>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</si>
  <si>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</si>
  <si>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</si>
  <si>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</si>
  <si>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</si>
  <si>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</si>
  <si>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</si>
  <si>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</si>
  <si>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</si>
  <si>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</si>
  <si>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</si>
  <si>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</si>
  <si>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</si>
  <si>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</si>
  <si>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</si>
  <si>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</si>
  <si>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</si>
  <si>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</si>
  <si>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</si>
  <si>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</si>
  <si>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</si>
  <si>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</si>
  <si>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</si>
  <si>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</si>
  <si>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</si>
  <si>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</si>
  <si>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</si>
  <si>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</si>
  <si>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</si>
  <si>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</si>
  <si>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</si>
  <si>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</si>
  <si>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</si>
  <si>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</si>
  <si>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</si>
  <si>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</si>
  <si>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</si>
  <si>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</si>
  <si>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</si>
  <si>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</si>
  <si>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</si>
  <si>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</si>
  <si>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</si>
  <si>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</si>
  <si>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</si>
  <si>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</si>
  <si>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</si>
  <si>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</si>
  <si>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</si>
  <si>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</si>
  <si>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</si>
  <si>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</si>
  <si>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</si>
  <si>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</si>
  <si>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</si>
  <si>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</si>
  <si>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</si>
  <si>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</si>
  <si>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</si>
  <si>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</si>
  <si>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</si>
  <si>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</si>
  <si>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</si>
  <si>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</si>
  <si>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</si>
  <si>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</si>
  <si>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</si>
  <si>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</si>
  <si>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</si>
  <si>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</si>
  <si>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</si>
  <si>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</si>
  <si>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</si>
  <si>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</si>
  <si>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</si>
  <si>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</si>
  <si>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</si>
  <si>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</si>
  <si>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</si>
  <si>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</si>
  <si>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</si>
  <si>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</si>
  <si>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</si>
  <si>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</si>
  <si>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</si>
  <si>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</si>
  <si>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</si>
  <si>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</si>
  <si>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</si>
  <si>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</si>
  <si>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</si>
  <si>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</si>
  <si>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</si>
  <si>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</si>
  <si>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</si>
  <si>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</si>
  <si>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</si>
  <si>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</si>
  <si>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</si>
  <si>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</si>
  <si>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</si>
  <si>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</si>
  <si>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</si>
  <si>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</si>
  <si>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</si>
  <si>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</si>
  <si>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</si>
  <si>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</si>
  <si>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</si>
  <si>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</si>
  <si>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</si>
  <si>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</si>
  <si>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</si>
  <si>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</si>
  <si>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</si>
  <si>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</si>
  <si>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</si>
  <si>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</si>
  <si>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</si>
  <si>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</si>
  <si>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</si>
  <si>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</si>
  <si>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</si>
  <si>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</si>
  <si>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平整</t>
  </si>
  <si>
    <t>燃气</t>
  </si>
  <si>
    <t>是</t>
  </si>
  <si>
    <t>地上</t>
  </si>
  <si>
    <t>地下</t>
  </si>
  <si>
    <t>收益法</t>
  </si>
  <si>
    <t>押一</t>
  </si>
  <si>
    <t>钢混</t>
  </si>
  <si>
    <t>非生产用房</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</si>
  <si>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</si>
  <si>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</si>
  <si>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</si>
  <si>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</si>
  <si>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</si>
  <si>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</si>
  <si>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</si>
  <si>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</si>
  <si>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</si>
  <si>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</si>
  <si>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</si>
  <si>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</si>
  <si>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</si>
  <si>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</si>
  <si>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</si>
  <si>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</si>
  <si>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</si>
  <si>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</si>
  <si>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</si>
  <si>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</si>
  <si>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</si>
  <si>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</si>
  <si>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</si>
  <si>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</si>
  <si>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</si>
  <si>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</si>
  <si>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</si>
  <si>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</si>
  <si>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</si>
  <si>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</si>
  <si>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</si>
  <si>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</si>
  <si>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</si>
  <si>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</si>
  <si>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</si>
  <si>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</si>
  <si>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</si>
  <si>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</si>
  <si>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</si>
  <si>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</si>
  <si>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</si>
  <si>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</si>
  <si>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</si>
  <si>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</si>
  <si>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</si>
  <si>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</si>
  <si>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</si>
  <si>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</si>
  <si>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</si>
  <si>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</si>
  <si>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</si>
  <si>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</si>
  <si>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 xml:space="preserve"> 北京</t>
  </si>
  <si>
    <t xml:space="preserve"> 房山区</t>
  </si>
  <si>
    <t xml:space="preserve"> --</t>
  </si>
  <si>
    <t xml:space="preserve"> 挂牌</t>
  </si>
  <si>
    <t xml:space="preserve">-- </t>
  </si>
  <si>
    <t xml:space="preserve"> -- </t>
  </si>
  <si>
    <t xml:space="preserve"> 已成交</t>
  </si>
  <si>
    <t xml:space="preserve"> ≤1.6</t>
  </si>
  <si>
    <t xml:space="preserve"> 地方国有企业</t>
  </si>
  <si>
    <t>工业</t>
    <phoneticPr fontId="32" type="noConversion"/>
  </si>
  <si>
    <t>较好</t>
  </si>
  <si>
    <t>一般</t>
  </si>
  <si>
    <t>七通</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</si>
  <si>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</si>
  <si>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</si>
  <si>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</si>
  <si>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</si>
  <si>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</si>
  <si>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</si>
  <si>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</si>
  <si>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三通</t>
  </si>
  <si>
    <t>楼面地价</t>
  </si>
  <si>
    <t>成本法</t>
  </si>
  <si>
    <t>成本比率</t>
  </si>
  <si>
    <t>总价</t>
  </si>
  <si>
    <t>建筑面积</t>
  </si>
  <si>
    <t>土地价款</t>
    <phoneticPr fontId="8" type="noConversion"/>
  </si>
  <si>
    <t>出让金+开发费</t>
  </si>
  <si>
    <t>企业提供（在右侧录入）</t>
  </si>
  <si>
    <t>情况3</t>
  </si>
  <si>
    <t>正常</t>
  </si>
  <si>
    <t>自行开发建设</t>
  </si>
  <si>
    <t>非个人房产</t>
  </si>
  <si>
    <t>现房</t>
  </si>
  <si>
    <t>项目全部</t>
  </si>
  <si>
    <t>企业</t>
  </si>
  <si>
    <t>宗地容积率</t>
  </si>
  <si>
    <t>与级别开发程度一致</t>
  </si>
  <si>
    <t>住宅</t>
  </si>
  <si>
    <t>北京市平谷区马昌营镇(沥青厂)PG12-0102-6001、6002地块R2二类居住用地、0004地块公园绿地、0019地块防护绿地</t>
  </si>
  <si>
    <t>京土整储招(平)[2021]075号</t>
  </si>
  <si>
    <t xml:space="preserve"> 平谷区</t>
  </si>
  <si>
    <t xml:space="preserve"> 大兴庄</t>
  </si>
  <si>
    <t xml:space="preserve"> 平谷区马昌营镇</t>
  </si>
  <si>
    <t xml:space="preserve"> 住宅用地</t>
  </si>
  <si>
    <t xml:space="preserve"> ≤2.5</t>
  </si>
  <si>
    <t xml:space="preserve"> 招标</t>
  </si>
  <si>
    <t xml:space="preserve"> R2二类居住用地、公园绿地、防护绿地</t>
  </si>
  <si>
    <t xml:space="preserve">2021年第2批次 </t>
  </si>
  <si>
    <t xml:space="preserve"> 60米</t>
  </si>
  <si>
    <t xml:space="preserve"> 限房价</t>
  </si>
  <si>
    <t xml:space="preserve"> 配建自住房/共有产权房用地,纯自住房/共有产权房用地</t>
  </si>
  <si>
    <t xml:space="preserve"> 京土整储招(平)[2021]075号</t>
  </si>
  <si>
    <t xml:space="preserve"> 北京城乡房屋建设开发有限责任公司  </t>
  </si>
  <si>
    <t xml:space="preserve"> 北京建工</t>
  </si>
  <si>
    <t>2021-09-22 15:30</t>
  </si>
  <si>
    <t xml:space="preserve"> 70年</t>
  </si>
  <si>
    <t>北京市门头沟区龙泉镇门头沟新城05街区MC00-0005-6002、6003、6010、6011、6007、6008、6012地块R2二类居住用地、S4社会停车场用地、A33基础教育用地</t>
  </si>
  <si>
    <t>京土整储招(门)[2020]030号</t>
  </si>
  <si>
    <t xml:space="preserve"> 门头沟区</t>
  </si>
  <si>
    <t xml:space="preserve"> 龙泉</t>
  </si>
  <si>
    <t xml:space="preserve"> 门头沟区龙泉镇</t>
  </si>
  <si>
    <t xml:space="preserve"> 综合用地(含住宅)</t>
  </si>
  <si>
    <t xml:space="preserve"> r2≤1.4,a33≤0.8</t>
  </si>
  <si>
    <t xml:space="preserve"> R2二类居住用地、S4社会停车场用地、A33基础教育用地</t>
  </si>
  <si>
    <t xml:space="preserve"> ≤30%</t>
  </si>
  <si>
    <t xml:space="preserve"> R2≤36米,A33≤12米</t>
  </si>
  <si>
    <t xml:space="preserve"> 京土整储招(门)[2020]030号</t>
  </si>
  <si>
    <t xml:space="preserve"> 京能置业股份有限公司  </t>
  </si>
  <si>
    <t xml:space="preserve"> 京能置业</t>
  </si>
  <si>
    <t xml:space="preserve"> 居住70年、商业40年、办公50年</t>
  </si>
  <si>
    <t>北京市房山区拱辰街道办事处FS00-LX05-0046、0056地块R2二类居住用地</t>
  </si>
  <si>
    <t>京土整储挂(房)[2020]018号</t>
  </si>
  <si>
    <t xml:space="preserve"> 长阳</t>
  </si>
  <si>
    <t xml:space="preserve"> 房山区拱辰街道办事处</t>
  </si>
  <si>
    <t xml:space="preserve"> R2二类居住用地</t>
  </si>
  <si>
    <t xml:space="preserve"> ≤18米</t>
  </si>
  <si>
    <t xml:space="preserve"> 限地价,限房价,竞自持,报高标准商品住宅建设方案</t>
  </si>
  <si>
    <t xml:space="preserve"> 限地价,限房价</t>
  </si>
  <si>
    <t xml:space="preserve"> 京土整储挂(房)[2020]018号</t>
  </si>
  <si>
    <t xml:space="preserve"> 中建一局集团房地产开发有限公司 、北京市城投嘉业房地产开发有限责任公司联合体  </t>
  </si>
  <si>
    <t xml:space="preserve"> 中建一局</t>
  </si>
  <si>
    <t xml:space="preserve"> 中央国有企业</t>
  </si>
  <si>
    <t>2020-05-18 15:00</t>
  </si>
  <si>
    <t xml:space="preserve"> 居住70年</t>
  </si>
  <si>
    <t>北京市海淀区安宁庄东路1号1820-618B、1820-619B、1820-624A、1820-622地块R2二类居住用地、A33基础教育用地</t>
  </si>
  <si>
    <t>京土整储招(海)[2019]056号</t>
  </si>
  <si>
    <t xml:space="preserve"> 海淀区</t>
  </si>
  <si>
    <t xml:space="preserve"> 西三旗</t>
  </si>
  <si>
    <t xml:space="preserve"> 海淀区清河地区</t>
  </si>
  <si>
    <t xml:space="preserve"> r2(618、624)≤2.56,r2(619)≤2,a33≤0.8</t>
  </si>
  <si>
    <t xml:space="preserve"> R2二类居住用地、A33基础教育用地</t>
  </si>
  <si>
    <t xml:space="preserve"> R2(618、624)≤60米,R2(619)≤45米,A33≤12米</t>
  </si>
  <si>
    <t xml:space="preserve"> 京土整储招(海)[2019]056号</t>
  </si>
  <si>
    <t xml:space="preserve"> 北京金隅程远房地产开发有限公司  </t>
  </si>
  <si>
    <t xml:space="preserve"> 金隅集团</t>
  </si>
  <si>
    <t>北京市海淀区“海淀北部地区整体开发”永丰产业基地(新)HD00-0403-013、122地块R2二类居住用地、A33基础教育用地</t>
  </si>
  <si>
    <t>京土整储挂(海)[2019]044号</t>
  </si>
  <si>
    <t xml:space="preserve"> 温泉</t>
  </si>
  <si>
    <t xml:space="preserve"> 海淀区西北旺镇</t>
  </si>
  <si>
    <t xml:space="preserve"> r2≤2.1,a33≤0.7</t>
  </si>
  <si>
    <t xml:space="preserve"> R2≤45米,A33≤12米</t>
  </si>
  <si>
    <t xml:space="preserve"> 京土整储挂(海)[2019]044号</t>
  </si>
  <si>
    <t xml:space="preserve"> 北京海开房地产股份有限公司 、北京建工地产有限责任公司联合体  </t>
  </si>
  <si>
    <t xml:space="preserve"> 北京建工,中关村发展</t>
  </si>
  <si>
    <t xml:space="preserve"> 地方国有企业,地方国有企业</t>
  </si>
  <si>
    <t>2020-01-17 15:00</t>
  </si>
  <si>
    <t>北京市丰台区吴家村梅市口路1615-761、1615-762地块R2二类居住用地</t>
  </si>
  <si>
    <t>京土整储招(丰)[2019]039号</t>
  </si>
  <si>
    <t xml:space="preserve"> 丰台区</t>
  </si>
  <si>
    <t xml:space="preserve"> 梅市口路</t>
  </si>
  <si>
    <t xml:space="preserve"> 丰台区吴家村梅市口路</t>
  </si>
  <si>
    <t xml:space="preserve"> ≤3</t>
  </si>
  <si>
    <t xml:space="preserve"> ≤80米</t>
  </si>
  <si>
    <t xml:space="preserve"> 京土整储招(丰)[2019]039号</t>
  </si>
  <si>
    <t xml:space="preserve"> 北京首钢二通建设投资有限公司  </t>
  </si>
  <si>
    <t xml:space="preserve"> 首钢集团</t>
  </si>
  <si>
    <t>北京市房山区拱辰街道FS00-LX09-6001地块R2二类居住用地、FS00-LX09-6003地块A33基础教育用地</t>
  </si>
  <si>
    <t>京土整储挂(房)[2019]032号</t>
  </si>
  <si>
    <t xml:space="preserve"> r2≤2.15,a33≤0.8</t>
  </si>
  <si>
    <t xml:space="preserve"> R2≤30米,A33≤12米</t>
  </si>
  <si>
    <t xml:space="preserve"> 京土整储挂(房)[2019]032号</t>
  </si>
  <si>
    <t xml:space="preserve"> 北京茂越企业管理有限公司  </t>
  </si>
  <si>
    <t xml:space="preserve"> 世茂集团</t>
  </si>
  <si>
    <t xml:space="preserve"> 民营企业</t>
  </si>
  <si>
    <t>2019-11-15 15:00</t>
  </si>
  <si>
    <t>北京市怀柔区怀柔新城07街区(杨宋镇凤翔一园10号)HR00-0007-6006地块R2二类居住用地</t>
  </si>
  <si>
    <t>京土整储招(怀)[2019]028号</t>
  </si>
  <si>
    <t xml:space="preserve"> 怀柔区</t>
  </si>
  <si>
    <t xml:space="preserve"> 杨宋</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</si>
  <si>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</si>
  <si>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</si>
  <si>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</si>
  <si>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</si>
  <si>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</si>
  <si>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</si>
  <si>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北京市朝阳区豆各庄乡孙家坡村1306-638地块F1住宅混合公建用地</t>
  </si>
  <si>
    <t>京土整储挂(朝)[2019]024号</t>
  </si>
  <si>
    <t xml:space="preserve"> 朝阳区</t>
  </si>
  <si>
    <t xml:space="preserve"> 豆各庄、黑庄户</t>
  </si>
  <si>
    <t xml:space="preserve"> 朝阳区豆各庄乡</t>
  </si>
  <si>
    <t xml:space="preserve"> ≤2.85</t>
  </si>
  <si>
    <t xml:space="preserve"> F1住宅混合公建用地</t>
  </si>
  <si>
    <t xml:space="preserve"> 12米</t>
  </si>
  <si>
    <t xml:space="preserve"> 京土整储挂(朝)[2019]024号</t>
  </si>
  <si>
    <t xml:space="preserve"> 中止交易</t>
  </si>
  <si>
    <t>2019-09-26 15:00</t>
  </si>
  <si>
    <t xml:space="preserve"> 良乡</t>
  </si>
  <si>
    <t>北京市房山区良乡镇中心区01-17-02等地块R2二类居住用地、B1商业用地</t>
  </si>
  <si>
    <t>京土整储挂(房)[2017]088号</t>
  </si>
  <si>
    <t xml:space="preserve"> 房山区良乡镇</t>
  </si>
  <si>
    <t xml:space="preserve"> R2二类居住用地、B1商业用地</t>
  </si>
  <si>
    <t xml:space="preserve"> R2≤30%;B1≤45%</t>
  </si>
  <si>
    <t xml:space="preserve"> R2≤45;B1≤60</t>
  </si>
  <si>
    <t xml:space="preserve"> 京土整储挂(房)[2017]088号</t>
  </si>
  <si>
    <t xml:space="preserve"> 北京金融街京西置业有限公司  </t>
  </si>
  <si>
    <t xml:space="preserve"> 金融街</t>
  </si>
  <si>
    <t>在建</t>
  </si>
  <si>
    <t>工程停工</t>
    <phoneticPr fontId="6" type="noConversion"/>
  </si>
  <si>
    <t>居住项目</t>
  </si>
  <si>
    <t>地下汽车库及附属用房</t>
  </si>
  <si>
    <t>电气分界室</t>
  </si>
  <si>
    <t>再生资源回收站</t>
  </si>
  <si>
    <t>住宅</t>
    <phoneticPr fontId="7" type="noConversion"/>
  </si>
  <si>
    <t>地下仓储</t>
    <phoneticPr fontId="7" type="noConversion"/>
  </si>
  <si>
    <t>地下车库</t>
    <phoneticPr fontId="7" type="noConversion"/>
  </si>
  <si>
    <t>（分摊）土地面积</t>
  </si>
  <si>
    <t>合计</t>
  </si>
  <si>
    <t>经营性用途</t>
  </si>
  <si>
    <t>非经营性用途</t>
  </si>
  <si>
    <t>小计</t>
  </si>
  <si>
    <t>公共配套设施</t>
  </si>
  <si>
    <t>物业管理用房</t>
  </si>
  <si>
    <t>设备及其他</t>
  </si>
  <si>
    <t>（住宅）</t>
  </si>
  <si>
    <t>（住宅、计出让金）</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</si>
  <si>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</si>
  <si>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</si>
  <si>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</si>
  <si>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</si>
  <si>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</si>
  <si>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</si>
  <si>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</si>
  <si>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</si>
  <si>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</si>
  <si>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</si>
  <si>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</si>
  <si>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</si>
  <si>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</si>
  <si>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</si>
  <si>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</si>
  <si>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</si>
  <si>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</si>
  <si>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合计</t>
    <phoneticPr fontId="134" type="noConversion"/>
  </si>
  <si>
    <t>人防</t>
    <phoneticPr fontId="134" type="noConversion"/>
  </si>
  <si>
    <t>工程进度</t>
  </si>
  <si>
    <t>住宅</t>
    <phoneticPr fontId="30" type="noConversion"/>
  </si>
  <si>
    <t>是否限价</t>
    <phoneticPr fontId="30" type="noConversion"/>
  </si>
  <si>
    <t>个人份额占比</t>
    <phoneticPr fontId="30" type="noConversion"/>
  </si>
  <si>
    <t>是</t>
    <phoneticPr fontId="30" type="noConversion"/>
  </si>
  <si>
    <t>否</t>
    <phoneticPr fontId="30" type="noConversion"/>
  </si>
  <si>
    <t>城市快速路</t>
  </si>
  <si>
    <t>城市主干道</t>
  </si>
  <si>
    <t>城市次干道</t>
  </si>
  <si>
    <t>城市支路</t>
  </si>
  <si>
    <t>规划道路</t>
  </si>
  <si>
    <t>规则</t>
    <phoneticPr fontId="3" type="noConversion"/>
  </si>
  <si>
    <t>较规则</t>
    <phoneticPr fontId="3" type="noConversion"/>
  </si>
  <si>
    <t>较不规则</t>
    <phoneticPr fontId="3" type="noConversion"/>
  </si>
  <si>
    <t>不规则</t>
    <phoneticPr fontId="3" type="noConversion"/>
  </si>
  <si>
    <t>七通一平</t>
  </si>
  <si>
    <t>六通一平</t>
  </si>
  <si>
    <t>五通一平</t>
  </si>
  <si>
    <t>四通一平</t>
  </si>
  <si>
    <t>三通一平</t>
  </si>
  <si>
    <t>好</t>
  </si>
  <si>
    <t>较差</t>
  </si>
  <si>
    <t>多面临街</t>
  </si>
  <si>
    <t>单面临街</t>
  </si>
  <si>
    <t>双面临街</t>
  </si>
  <si>
    <t>较规则</t>
  </si>
  <si>
    <t>较不规则</t>
  </si>
  <si>
    <t>京能西山印</t>
    <phoneticPr fontId="3" type="noConversion"/>
  </si>
  <si>
    <t>中建·京西印玥</t>
    <phoneticPr fontId="3" type="noConversion"/>
  </si>
  <si>
    <t>轩景家园</t>
    <phoneticPr fontId="3" type="noConversion"/>
  </si>
  <si>
    <t>未包含在土地购买价格中</t>
  </si>
  <si>
    <t>全部缴纳</t>
  </si>
  <si>
    <t>已包含在土地取得成本中</t>
  </si>
  <si>
    <t>地下仓储</t>
  </si>
  <si>
    <t>地下车库</t>
  </si>
  <si>
    <t>假设开发法</t>
  </si>
  <si>
    <t>金融街金悦郡</t>
    <phoneticPr fontId="3" type="noConversion"/>
  </si>
  <si>
    <t>舒朗苑</t>
    <phoneticPr fontId="3" type="noConversion"/>
  </si>
  <si>
    <t>中骏·云景台</t>
    <phoneticPr fontId="3" type="noConversion"/>
  </si>
  <si>
    <t>北京恒大御峰</t>
    <phoneticPr fontId="3" type="noConversion"/>
  </si>
  <si>
    <t>住宅</t>
    <phoneticPr fontId="24" type="noConversion"/>
  </si>
  <si>
    <t>金融街金悦郡</t>
    <phoneticPr fontId="3" type="noConversion"/>
  </si>
  <si>
    <t>现房</t>
    <phoneticPr fontId="24" type="noConversion"/>
  </si>
  <si>
    <t>是</t>
    <phoneticPr fontId="24" type="noConversion"/>
  </si>
  <si>
    <t>否</t>
    <phoneticPr fontId="24" type="noConversion"/>
  </si>
  <si>
    <t>旭辉城</t>
    <phoneticPr fontId="3" type="noConversion"/>
  </si>
  <si>
    <t>精装</t>
  </si>
  <si>
    <t>精装</t>
    <phoneticPr fontId="24" type="noConversion"/>
  </si>
  <si>
    <t>普装</t>
    <phoneticPr fontId="24" type="noConversion"/>
  </si>
  <si>
    <t>简装</t>
    <phoneticPr fontId="24" type="noConversion"/>
  </si>
  <si>
    <t>毛坯</t>
  </si>
  <si>
    <t>毛坯</t>
    <phoneticPr fontId="24" type="noConversion"/>
  </si>
  <si>
    <t>专业</t>
  </si>
  <si>
    <t>专业</t>
    <phoneticPr fontId="24" type="noConversion"/>
  </si>
  <si>
    <t>六通</t>
  </si>
  <si>
    <t>五通</t>
  </si>
  <si>
    <t>四通</t>
  </si>
  <si>
    <t>钢混</t>
    <phoneticPr fontId="24" type="noConversion"/>
  </si>
  <si>
    <t>较差</t>
    <phoneticPr fontId="24" type="noConversion"/>
  </si>
  <si>
    <t>一般</t>
    <phoneticPr fontId="24" type="noConversion"/>
  </si>
  <si>
    <t>一般</t>
    <phoneticPr fontId="24" type="noConversion"/>
  </si>
  <si>
    <t>七通</t>
    <phoneticPr fontId="24" type="noConversion"/>
  </si>
  <si>
    <t>次干道</t>
    <phoneticPr fontId="24" type="noConversion"/>
  </si>
  <si>
    <t>小高层</t>
  </si>
  <si>
    <t>小高层</t>
    <phoneticPr fontId="24" type="noConversion"/>
  </si>
  <si>
    <t>项目模式</t>
  </si>
  <si>
    <t>售价</t>
  </si>
  <si>
    <t>收益法2</t>
  </si>
  <si>
    <t>收益法2</t>
    <phoneticPr fontId="1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</si>
  <si>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134" type="noConversion"/>
  </si>
  <si>
    <t>规证</t>
    <phoneticPr fontId="134" type="noConversion"/>
  </si>
  <si>
    <t>测绘报告</t>
    <phoneticPr fontId="134" type="noConversion"/>
  </si>
  <si>
    <t>在建建筑物价值</t>
  </si>
  <si>
    <t>规划建筑面积</t>
  </si>
  <si>
    <t>分摊土地面积</t>
  </si>
  <si>
    <t>已部分缴纳</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</si>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</sst>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179" fontId="51" fillId="7" borderId="23" xfId="0" applyNumberFormat="1" applyFont="1" applyFill="1" applyBorder="1" applyAlignment="1" applyProtection="1">
      <alignment horizontal="center" vertical="center"/>
      <protection locked="0"/>
    </xf>
    <xf numFmtId="0" fontId="269" fillId="0" borderId="0" xfId="19" applyNumberFormat="1"/>
    <xf numFmtId="14" fontId="269" fillId="0" borderId="0" xfId="19" applyNumberForma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3" fillId="8" borderId="1" xfId="1" applyNumberFormat="1" applyFont="1" applyFill="1" applyBorder="1" applyAlignment="1" applyProtection="1">
      <alignment horizontal="center"/>
    </xf>
    <xf numFmtId="176" fontId="47" fillId="12" borderId="0" xfId="0" applyNumberFormat="1"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0" fontId="114" fillId="7" borderId="0" xfId="0" applyFont="1" applyFill="1" applyProtection="1">
      <alignment vertical="center"/>
      <protection locked="0"/>
    </xf>
    <xf numFmtId="190" fontId="113" fillId="0" borderId="1" xfId="0" applyNumberFormat="1" applyFont="1" applyFill="1" applyBorder="1" applyAlignment="1" applyProtection="1">
      <alignment horizontal="lef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69" fillId="5" borderId="0" xfId="19" applyNumberFormat="1" applyFill="1"/>
    <xf numFmtId="14" fontId="269" fillId="5" borderId="0" xfId="19" applyNumberFormat="1" applyFill="1"/>
    <xf numFmtId="0" fontId="269" fillId="16" borderId="0" xfId="19" applyNumberFormat="1" applyFill="1"/>
    <xf numFmtId="14" fontId="269" fillId="16" borderId="0" xfId="19" applyNumberFormat="1" applyFill="1"/>
    <xf numFmtId="0" fontId="77" fillId="0" borderId="1" xfId="0" applyFont="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47" fillId="0" borderId="54" xfId="0" applyFont="1" applyFill="1" applyBorder="1" applyAlignment="1" applyProtection="1">
      <alignment horizontal="center" vertical="center" wrapText="1"/>
    </xf>
    <xf numFmtId="0" fontId="47" fillId="0" borderId="36" xfId="0" applyFont="1" applyFill="1" applyBorder="1" applyAlignment="1" applyProtection="1">
      <alignment horizontal="center" vertical="center"/>
    </xf>
    <xf numFmtId="0" fontId="47" fillId="0" borderId="36" xfId="0"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xf>
    <xf numFmtId="0" fontId="47" fillId="0" borderId="0" xfId="0"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xf>
    <xf numFmtId="0" fontId="47" fillId="0" borderId="54" xfId="0" applyFont="1" applyFill="1" applyBorder="1" applyAlignment="1" applyProtection="1">
      <alignment horizontal="center" vertical="center"/>
    </xf>
    <xf numFmtId="0" fontId="47" fillId="0" borderId="35" xfId="0" applyFont="1" applyFill="1" applyBorder="1" applyAlignment="1" applyProtection="1">
      <alignment horizontal="center" vertical="center"/>
    </xf>
    <xf numFmtId="179" fontId="47" fillId="0" borderId="4" xfId="0" applyNumberFormat="1" applyFont="1" applyFill="1" applyBorder="1" applyAlignment="1" applyProtection="1">
      <alignment horizontal="center" vertical="center"/>
    </xf>
    <xf numFmtId="0" fontId="48" fillId="0" borderId="60" xfId="0" applyFont="1" applyFill="1" applyBorder="1" applyAlignment="1" applyProtection="1">
      <alignment horizontal="center" vertical="center"/>
    </xf>
    <xf numFmtId="0" fontId="47" fillId="0" borderId="60" xfId="0" applyFont="1" applyFill="1" applyBorder="1" applyAlignment="1" applyProtection="1">
      <alignment horizontal="center" vertical="center"/>
    </xf>
    <xf numFmtId="0" fontId="47" fillId="0" borderId="5" xfId="0" applyFont="1" applyFill="1" applyBorder="1" applyAlignment="1" applyProtection="1">
      <alignment horizontal="left" vertical="center"/>
    </xf>
    <xf numFmtId="0" fontId="48" fillId="0" borderId="54" xfId="0" applyFont="1" applyFill="1" applyBorder="1" applyAlignment="1" applyProtection="1">
      <alignment horizontal="center" vertical="center"/>
    </xf>
    <xf numFmtId="179" fontId="47" fillId="0" borderId="35" xfId="0" applyNumberFormat="1" applyFont="1" applyFill="1" applyBorder="1" applyAlignment="1" applyProtection="1">
      <alignment horizontal="center" vertical="center"/>
    </xf>
    <xf numFmtId="0" fontId="47" fillId="0" borderId="7"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7" fillId="0" borderId="13" xfId="0" applyFont="1" applyFill="1" applyBorder="1" applyAlignment="1" applyProtection="1">
      <alignment horizontal="center" vertical="center"/>
    </xf>
    <xf numFmtId="179" fontId="47" fillId="0" borderId="3" xfId="0" applyNumberFormat="1"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35" xfId="0" applyFont="1" applyFill="1" applyBorder="1" applyAlignment="1" applyProtection="1">
      <alignment horizontal="center" vertical="center" wrapText="1"/>
    </xf>
    <xf numFmtId="179" fontId="47" fillId="0" borderId="1" xfId="0" applyNumberFormat="1"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0" fontId="47" fillId="0" borderId="3" xfId="0"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xf>
    <xf numFmtId="0" fontId="107" fillId="0" borderId="0" xfId="0" applyFont="1" applyFill="1">
      <alignment vertical="center"/>
    </xf>
    <xf numFmtId="0" fontId="77" fillId="0" borderId="1" xfId="0" applyFont="1" applyFill="1" applyBorder="1" applyAlignment="1" applyProtection="1">
      <alignment horizontal="center" vertical="center" wrapText="1"/>
    </xf>
    <xf numFmtId="0" fontId="47" fillId="0" borderId="4" xfId="0"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51" fillId="0" borderId="38" xfId="0" applyNumberFormat="1" applyFont="1" applyFill="1" applyBorder="1" applyAlignment="1" applyProtection="1">
      <alignment horizontal="center" vertical="center" wrapText="1"/>
      <protection locked="0"/>
    </xf>
    <xf numFmtId="9" fontId="44" fillId="0" borderId="2" xfId="0" applyNumberFormat="1" applyFont="1" applyFill="1" applyBorder="1" applyAlignment="1" applyProtection="1">
      <alignment horizontal="center" vertical="center" wrapText="1"/>
      <protection locked="0"/>
    </xf>
    <xf numFmtId="9" fontId="51" fillId="0" borderId="1"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47" fillId="0" borderId="1" xfId="0"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54" xfId="0" applyFont="1" applyFill="1" applyBorder="1" applyAlignment="1" applyProtection="1">
      <alignment horizontal="center" vertical="center"/>
    </xf>
    <xf numFmtId="0" fontId="77" fillId="0" borderId="13"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54" xfId="0" applyFont="1" applyFill="1" applyBorder="1" applyAlignment="1" applyProtection="1">
      <alignment horizontal="center" vertical="center"/>
    </xf>
    <xf numFmtId="0" fontId="47" fillId="0" borderId="15"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142875</xdr:rowOff>
    </xdr:from>
    <xdr:to>
      <xdr:col>10</xdr:col>
      <xdr:colOff>369762</xdr:colOff>
      <xdr:row>50</xdr:row>
      <xdr:rowOff>103898</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2133600"/>
          <a:ext cx="13714287"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533-&#20849;&#26377;&#20135;&#26435;&#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修正"/>
      <sheetName val="土地比较法-住宅、综合"/>
      <sheetName val="土地比较法-工业"/>
      <sheetName val="案例"/>
      <sheetName val="成本法"/>
      <sheetName val="成本法 (元)"/>
      <sheetName val="假设开发法"/>
      <sheetName val="比较法-住宅"/>
      <sheetName val="收益法"/>
      <sheetName val="收益法2"/>
      <sheetName val="收益法 (元)"/>
      <sheetName val="收益法-酒店模型"/>
      <sheetName val="收益法（汇总）"/>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26236.260000000002</v>
          </cell>
          <cell r="C14">
            <v>6365.23</v>
          </cell>
          <cell r="D14">
            <v>11285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估价对象为北京市房地产，为所有。根据《国有土地使用证》[]，估价对象（分摊）出让国有建设用地使用权面积为53629.25平方米，建筑面积为155268.5平方米。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估价对象为北京市房地产,为开发建设的居住项目，该项目尚在开发建设中。根据《国有土地使用证》[]，估价对象（分摊）出让国有建设用地使用权面积为53629.25平方米，规划建筑面积为155268.5平方米。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2023年7月17日（评估专业人员实地查勘之日）</v>
      </c>
    </row>
    <row r="13" spans="1:2" s="1200" customFormat="1">
      <c r="A13" s="1198" t="s">
        <v>529</v>
      </c>
      <c r="B13" s="1199"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188794</v>
      </c>
    </row>
    <row r="21" spans="1:2" s="1200" customFormat="1">
      <c r="A21" s="1198" t="s">
        <v>537</v>
      </c>
      <c r="B21" s="1199">
        <f ca="1">'预评函-2'!D7</f>
        <v>12159</v>
      </c>
    </row>
    <row r="22" spans="1:2" s="1200" customFormat="1">
      <c r="A22" s="1198" t="s">
        <v>538</v>
      </c>
      <c r="B22" s="1199" t="str">
        <f ca="1">'预评函-2'!D6</f>
        <v>壹拾捌亿捌仟柒佰玖拾肆万元整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188794</v>
      </c>
    </row>
    <row r="31" spans="1:2" s="1200" customFormat="1">
      <c r="A31" s="1198" t="s">
        <v>576</v>
      </c>
      <c r="B31" s="1199">
        <f ca="1">'预评函-2'!D15</f>
        <v>12159</v>
      </c>
    </row>
    <row r="32" spans="1:2" s="1200" customFormat="1">
      <c r="A32" s="1198" t="s">
        <v>543</v>
      </c>
      <c r="B32" s="1199" t="str">
        <f ca="1">'预评函-2'!D14</f>
        <v>壹拾捌亿捌仟柒佰玖拾肆万元整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155268.5</v>
      </c>
    </row>
    <row r="44" spans="1:2" s="1200" customFormat="1">
      <c r="A44" s="1198" t="s">
        <v>575</v>
      </c>
      <c r="B44" s="1199" t="str">
        <f>'预评函-3'!C2</f>
        <v>(分摊)土地面积</v>
      </c>
    </row>
    <row r="45" spans="1:2" s="1200" customFormat="1">
      <c r="A45" s="1198" t="s">
        <v>547</v>
      </c>
      <c r="B45" s="1199">
        <f>'预评函-3'!C4</f>
        <v>53629.25</v>
      </c>
    </row>
    <row r="46" spans="1:2" s="1200" customFormat="1">
      <c r="A46" s="1198" t="s">
        <v>573</v>
      </c>
      <c r="B46" s="1199" t="str">
        <f>'预评函-3'!D2</f>
        <v>出让国有建设用地使用权价值</v>
      </c>
    </row>
    <row r="47" spans="1:2" s="1200" customFormat="1">
      <c r="A47" s="1198" t="s">
        <v>548</v>
      </c>
      <c r="B47" s="1199">
        <f ca="1">'预评函-3'!D4</f>
        <v>155566</v>
      </c>
    </row>
    <row r="48" spans="1:2" s="1200" customFormat="1">
      <c r="A48" s="1198" t="s">
        <v>549</v>
      </c>
      <c r="B48" s="1199">
        <f ca="1">'预评函-3'!E4</f>
        <v>10019</v>
      </c>
    </row>
    <row r="49" spans="1:2" s="1200" customFormat="1">
      <c r="A49" s="1198" t="s">
        <v>550</v>
      </c>
      <c r="B49" s="1199" t="str">
        <f ca="1">'预评函-3'!D5</f>
        <v>壹拾伍亿伍仟伍佰陆拾陆万元整</v>
      </c>
    </row>
    <row r="50" spans="1:2" s="1200" customFormat="1">
      <c r="A50" s="1198" t="s">
        <v>574</v>
      </c>
      <c r="B50" s="1199" t="str">
        <f>'预评函-3'!F2</f>
        <v>在建建筑物价值</v>
      </c>
    </row>
    <row r="51" spans="1:2" s="1200" customFormat="1">
      <c r="A51" s="1198" t="s">
        <v>551</v>
      </c>
      <c r="B51" s="1199">
        <f ca="1">'预评函-3'!F4</f>
        <v>33228</v>
      </c>
    </row>
    <row r="52" spans="1:2" s="1200" customFormat="1">
      <c r="A52" s="1198" t="s">
        <v>552</v>
      </c>
      <c r="B52" s="1199">
        <f ca="1">'预评函-3'!G4</f>
        <v>2140</v>
      </c>
    </row>
    <row r="53" spans="1:2" s="1200" customFormat="1">
      <c r="A53" s="1198" t="s">
        <v>580</v>
      </c>
      <c r="B53" s="1199" t="str">
        <f ca="1">'预评函-3'!F5</f>
        <v>叁亿叁仟贰佰贰拾捌万元整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2573</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2574</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2285</v>
      </c>
      <c r="C17" s="1544"/>
    </row>
    <row r="18" spans="1:3">
      <c r="A18" s="1543" t="s">
        <v>1046</v>
      </c>
      <c r="B18" s="1543" t="s">
        <v>2429</v>
      </c>
      <c r="C18" s="1544"/>
    </row>
    <row r="19" spans="1:3">
      <c r="A19" s="1543" t="s">
        <v>1047</v>
      </c>
      <c r="B19" s="1543" t="s">
        <v>3705</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54"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51" t="s">
        <v>385</v>
      </c>
      <c r="C54" s="1548" t="s">
        <v>583</v>
      </c>
    </row>
    <row r="55" spans="1:4">
      <c r="A55" s="3554"/>
      <c r="B55" s="1551" t="s">
        <v>386</v>
      </c>
      <c r="C55" s="1548" t="s">
        <v>584</v>
      </c>
    </row>
    <row r="56" spans="1:4">
      <c r="A56" s="3554"/>
      <c r="B56" s="1551" t="s">
        <v>387</v>
      </c>
      <c r="C56" s="1548" t="s">
        <v>588</v>
      </c>
    </row>
    <row r="57" spans="1:4">
      <c r="A57" s="3554"/>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35" sqref="C35"/>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2496</v>
      </c>
      <c r="B1" s="3005"/>
      <c r="C1" s="3005"/>
      <c r="D1" s="3005"/>
      <c r="E1" s="3005"/>
      <c r="F1" s="3006"/>
      <c r="I1" s="3428" t="s">
        <v>2589</v>
      </c>
      <c r="J1" s="3217"/>
      <c r="K1" s="3217"/>
      <c r="L1" s="3217"/>
      <c r="M1" s="3217"/>
      <c r="N1" s="3429"/>
      <c r="O1" s="3429"/>
      <c r="P1" s="3429"/>
      <c r="Q1" s="3429"/>
      <c r="R1" s="3429"/>
    </row>
    <row r="2" spans="1:18">
      <c r="A2" s="3008"/>
      <c r="B2" s="3009"/>
      <c r="C2" s="3009"/>
      <c r="D2" s="3009"/>
      <c r="E2" s="3009"/>
      <c r="F2" s="3010"/>
      <c r="I2" s="3555" t="s">
        <v>2576</v>
      </c>
      <c r="J2" s="3555"/>
      <c r="K2" s="3555"/>
      <c r="L2" s="3555"/>
      <c r="M2" s="3555"/>
      <c r="N2" s="3555"/>
      <c r="O2" s="3555"/>
      <c r="P2" s="3555"/>
      <c r="Q2" s="3555"/>
      <c r="R2" s="3555"/>
    </row>
    <row r="3" spans="1:18">
      <c r="A3" s="3011" t="s">
        <v>2497</v>
      </c>
      <c r="B3" s="3012">
        <f>项目基本情况!D3</f>
        <v>45124</v>
      </c>
      <c r="C3" s="3014"/>
      <c r="D3" s="3014"/>
      <c r="E3" s="3014"/>
      <c r="F3" s="3010"/>
      <c r="I3" s="3430"/>
      <c r="J3" s="3430" t="s">
        <v>2580</v>
      </c>
      <c r="K3" s="3430" t="s">
        <v>2581</v>
      </c>
      <c r="L3" s="3430" t="s">
        <v>2582</v>
      </c>
      <c r="M3" s="3430" t="s">
        <v>2583</v>
      </c>
      <c r="N3" s="3431" t="s">
        <v>2584</v>
      </c>
      <c r="O3" s="3431" t="s">
        <v>2585</v>
      </c>
      <c r="P3" s="3431" t="s">
        <v>2586</v>
      </c>
      <c r="Q3" s="3431" t="s">
        <v>2587</v>
      </c>
      <c r="R3" s="3431" t="s">
        <v>2588</v>
      </c>
    </row>
    <row r="4" spans="1:18">
      <c r="A4" s="3011" t="s">
        <v>2498</v>
      </c>
      <c r="B4" s="3014" t="s">
        <v>2499</v>
      </c>
      <c r="C4" s="3014" t="s">
        <v>2500</v>
      </c>
      <c r="D4" s="3014" t="s">
        <v>2501</v>
      </c>
      <c r="E4" s="3014" t="s">
        <v>2502</v>
      </c>
      <c r="F4" s="3010"/>
      <c r="I4" s="3430" t="s">
        <v>2577</v>
      </c>
      <c r="J4" s="3430">
        <v>80</v>
      </c>
      <c r="K4" s="3430">
        <v>70</v>
      </c>
      <c r="L4" s="3430">
        <v>20</v>
      </c>
      <c r="M4" s="3430">
        <v>30</v>
      </c>
      <c r="N4" s="3014">
        <v>45</v>
      </c>
      <c r="O4" s="3014">
        <v>60</v>
      </c>
      <c r="P4" s="3014">
        <v>50</v>
      </c>
      <c r="Q4" s="3014">
        <v>20</v>
      </c>
      <c r="R4" s="3014">
        <v>375</v>
      </c>
    </row>
    <row r="5" spans="1:18">
      <c r="A5" s="3015">
        <v>40</v>
      </c>
      <c r="B5" s="3012">
        <v>46375</v>
      </c>
      <c r="C5" s="3014">
        <f>ROUNDDOWN(MIN((B5-B3)/365,A5),2)</f>
        <v>3.42</v>
      </c>
      <c r="D5" s="3016">
        <f>IF(ISERROR(ROUND(POWER(1+E5,A5-C5)*(POWER(1+E5,C5)-1)/(POWER(1+E5,A5)-1),3)),0,ROUND(POWER(1+E5,A5-C5)*(POWER(1+E5,C5)-1)/(POWER(1+E5,A5)-1),4))</f>
        <v>0.15859999999999999</v>
      </c>
      <c r="E5" s="3017">
        <v>0.04</v>
      </c>
      <c r="F5" s="3010"/>
      <c r="I5" s="3430" t="s">
        <v>2578</v>
      </c>
      <c r="J5" s="3430">
        <v>70</v>
      </c>
      <c r="K5" s="3430">
        <v>60</v>
      </c>
      <c r="L5" s="3430">
        <v>15</v>
      </c>
      <c r="M5" s="3430">
        <v>25</v>
      </c>
      <c r="N5" s="3014">
        <v>40</v>
      </c>
      <c r="O5" s="3014">
        <v>50</v>
      </c>
      <c r="P5" s="3014">
        <v>40</v>
      </c>
      <c r="Q5" s="3014">
        <v>15</v>
      </c>
      <c r="R5" s="3014">
        <v>315</v>
      </c>
    </row>
    <row r="6" spans="1:18">
      <c r="A6" s="3015">
        <v>50</v>
      </c>
      <c r="B6" s="3012">
        <v>50028</v>
      </c>
      <c r="C6" s="3014">
        <f>ROUNDDOWN(MIN((B6-B3)/365,A6),2)</f>
        <v>13.43</v>
      </c>
      <c r="D6" s="3016">
        <f>IF(ISERROR(ROUND(POWER(1+E6,A6-C6)*(POWER(1+E6,C6)-1)/(POWER(1+E6,A6)-1),3)),0,ROUND(POWER(1+E6,A6-C6)*(POWER(1+E6,C6)-1)/(POWER(1+E6,A6)-1),4))</f>
        <v>0.47649999999999998</v>
      </c>
      <c r="E6" s="3017">
        <v>0.04</v>
      </c>
      <c r="F6" s="3010"/>
      <c r="I6" s="3430" t="s">
        <v>2579</v>
      </c>
      <c r="J6" s="3430">
        <v>60</v>
      </c>
      <c r="K6" s="3430">
        <v>50</v>
      </c>
      <c r="L6" s="3430">
        <v>10</v>
      </c>
      <c r="M6" s="3430">
        <v>20</v>
      </c>
      <c r="N6" s="3014">
        <v>35</v>
      </c>
      <c r="O6" s="3014">
        <v>40</v>
      </c>
      <c r="P6" s="3014">
        <v>30</v>
      </c>
      <c r="Q6" s="3014">
        <v>10</v>
      </c>
      <c r="R6" s="3014">
        <v>255</v>
      </c>
    </row>
    <row r="7" spans="1:18">
      <c r="A7" s="3015">
        <v>70</v>
      </c>
      <c r="B7" s="3012">
        <v>57333</v>
      </c>
      <c r="C7" s="3014">
        <f>ROUNDDOWN(MIN((B7-B3)/365,A7),2)</f>
        <v>33.44</v>
      </c>
      <c r="D7" s="3016">
        <f>IF(ISERROR(ROUND(POWER(1+E7,A7-C7)*(POWER(1+E7,C7)-1)/(POWER(1+E7,A7)-1),3)),0,ROUND(POWER(1+E7,A7-C7)*(POWER(1+E7,C7)-1)/(POWER(1+E7,A7)-1),4))</f>
        <v>0.78069999999999995</v>
      </c>
      <c r="E7" s="3017">
        <v>0.04</v>
      </c>
      <c r="F7" s="3010"/>
    </row>
    <row r="8" spans="1:18">
      <c r="A8" s="3008"/>
      <c r="B8" s="3009"/>
      <c r="C8" s="3009"/>
      <c r="D8" s="3009"/>
      <c r="E8" s="3009"/>
      <c r="F8" s="3010"/>
    </row>
    <row r="9" spans="1:18">
      <c r="A9" s="3011" t="s">
        <v>2503</v>
      </c>
      <c r="B9" s="3014"/>
      <c r="C9" s="3014"/>
      <c r="D9" s="3014"/>
      <c r="E9" s="3014"/>
      <c r="F9" s="3018"/>
    </row>
    <row r="10" spans="1:18">
      <c r="A10" s="3011" t="s">
        <v>2504</v>
      </c>
      <c r="B10" s="3014"/>
      <c r="C10" s="3014"/>
      <c r="D10" s="3014" t="s">
        <v>2502</v>
      </c>
      <c r="E10" s="3014"/>
      <c r="F10" s="3018" t="s">
        <v>2501</v>
      </c>
    </row>
    <row r="11" spans="1:18">
      <c r="A11" s="3011" t="s">
        <v>2505</v>
      </c>
      <c r="B11" s="3019">
        <v>70</v>
      </c>
      <c r="C11" s="3014" t="s">
        <v>2506</v>
      </c>
      <c r="D11" s="3020">
        <v>4.4999999999999998E-2</v>
      </c>
      <c r="E11" s="3014" t="s">
        <v>2507</v>
      </c>
      <c r="F11" s="3021">
        <f>ROUND(1-(1/(POWER(1+D11,B11))),4)</f>
        <v>0.95409999999999995</v>
      </c>
    </row>
    <row r="12" spans="1:18">
      <c r="A12" s="3011" t="s">
        <v>2508</v>
      </c>
      <c r="B12" s="3019">
        <v>40</v>
      </c>
      <c r="C12" s="3014" t="s">
        <v>2509</v>
      </c>
      <c r="D12" s="3020">
        <v>4.4999999999999998E-2</v>
      </c>
      <c r="E12" s="3014" t="s">
        <v>2510</v>
      </c>
      <c r="F12" s="3021">
        <f>ROUND(1-(1/(POWER(1+D12,B12))),4)</f>
        <v>0.82809999999999995</v>
      </c>
    </row>
    <row r="13" spans="1:18">
      <c r="A13" s="3011" t="s">
        <v>2511</v>
      </c>
      <c r="B13" s="3014"/>
      <c r="C13" s="3014"/>
      <c r="D13" s="3009"/>
      <c r="E13" s="3009"/>
      <c r="F13" s="3010"/>
    </row>
    <row r="14" spans="1:18">
      <c r="A14" s="3011" t="s">
        <v>2512</v>
      </c>
      <c r="B14" s="3019">
        <v>5000</v>
      </c>
      <c r="C14" s="3013"/>
      <c r="D14" s="3009"/>
      <c r="E14" s="3009"/>
      <c r="F14" s="3010"/>
    </row>
    <row r="15" spans="1:18">
      <c r="A15" s="3011" t="s">
        <v>2513</v>
      </c>
      <c r="B15" s="3014">
        <f>ROUND(B14*F12/F11,2)</f>
        <v>4339.6899999999996</v>
      </c>
      <c r="C15" s="3014">
        <f>ROUND(F12/F11,4)</f>
        <v>0.8679</v>
      </c>
      <c r="D15" s="3009"/>
      <c r="E15" s="3009"/>
      <c r="F15" s="3010"/>
    </row>
    <row r="16" spans="1:18">
      <c r="A16" s="3011" t="s">
        <v>2514</v>
      </c>
      <c r="B16" s="3014"/>
      <c r="C16" s="3014"/>
      <c r="D16" s="3009"/>
      <c r="E16" s="3009"/>
      <c r="F16" s="3010"/>
    </row>
    <row r="17" spans="1:13">
      <c r="A17" s="3011" t="s">
        <v>2513</v>
      </c>
      <c r="B17" s="3020">
        <v>4810</v>
      </c>
      <c r="C17" s="3013"/>
      <c r="D17" s="3009"/>
      <c r="E17" s="3009"/>
      <c r="F17" s="3010"/>
    </row>
    <row r="18" spans="1:13" ht="14.25" thickBot="1">
      <c r="A18" s="3022" t="s">
        <v>2512</v>
      </c>
      <c r="B18" s="3023">
        <f>ROUND(B17*F11/F12,2)</f>
        <v>5541.87</v>
      </c>
      <c r="C18" s="3023">
        <f>ROUND(F11/F12,4)</f>
        <v>1.1521999999999999</v>
      </c>
      <c r="D18" s="3024"/>
      <c r="E18" s="3024"/>
      <c r="F18" s="3025"/>
    </row>
    <row r="19" spans="1:13" ht="14.25" thickBot="1"/>
    <row r="20" spans="1:13" s="3060" customFormat="1" ht="14.25" thickTop="1">
      <c r="A20" s="3057" t="s">
        <v>2515</v>
      </c>
      <c r="B20" s="3058"/>
      <c r="C20" s="3058"/>
      <c r="D20" s="3058"/>
      <c r="E20" s="3058"/>
      <c r="F20" s="3058"/>
      <c r="G20" s="3059"/>
      <c r="I20" s="3061" t="s">
        <v>2560</v>
      </c>
      <c r="J20" s="3061" t="s">
        <v>2565</v>
      </c>
      <c r="K20" s="3061"/>
      <c r="L20" s="3061"/>
      <c r="M20" s="3061"/>
    </row>
    <row r="21" spans="1:13">
      <c r="A21" s="3026"/>
      <c r="B21" s="3027" t="s">
        <v>2516</v>
      </c>
      <c r="C21" s="3027" t="s">
        <v>2517</v>
      </c>
      <c r="D21" s="3027" t="s">
        <v>2518</v>
      </c>
      <c r="E21" s="3027" t="s">
        <v>2519</v>
      </c>
      <c r="F21" s="3027" t="s">
        <v>2520</v>
      </c>
      <c r="G21" s="3028" t="s">
        <v>2521</v>
      </c>
      <c r="I21" s="3049">
        <v>5</v>
      </c>
      <c r="J21" s="3049">
        <v>54.2</v>
      </c>
    </row>
    <row r="22" spans="1:13">
      <c r="A22" s="3026" t="s">
        <v>2522</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2523</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2563</v>
      </c>
      <c r="M23" s="3049" t="s">
        <v>2564</v>
      </c>
    </row>
    <row r="24" spans="1:13">
      <c r="A24" s="3026" t="s">
        <v>2524</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2562</v>
      </c>
      <c r="M24" s="3049">
        <v>10</v>
      </c>
    </row>
    <row r="25" spans="1:13">
      <c r="A25" s="3026" t="s">
        <v>2525</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2566</v>
      </c>
      <c r="M25" s="3049">
        <v>8</v>
      </c>
    </row>
    <row r="26" spans="1:13">
      <c r="A26" s="3031"/>
      <c r="B26" s="3032"/>
      <c r="C26" s="3032"/>
      <c r="D26" s="3032"/>
      <c r="E26" s="3032"/>
      <c r="F26" s="3032"/>
      <c r="G26" s="3033"/>
      <c r="I26" s="3049">
        <v>30</v>
      </c>
      <c r="J26" s="3049">
        <v>90.5</v>
      </c>
      <c r="K26" s="3049">
        <f t="shared" si="2"/>
        <v>4.2000000000000028</v>
      </c>
      <c r="L26" s="3049" t="s">
        <v>2567</v>
      </c>
      <c r="M26" s="3049">
        <v>5</v>
      </c>
    </row>
    <row r="27" spans="1:13">
      <c r="A27" s="3031" t="s">
        <v>2526</v>
      </c>
      <c r="B27" s="3032"/>
      <c r="C27" s="3032"/>
      <c r="D27" s="3032"/>
      <c r="E27" s="3032"/>
      <c r="F27" s="3032"/>
      <c r="G27" s="3033"/>
      <c r="I27" s="3049">
        <v>35</v>
      </c>
      <c r="J27" s="3049">
        <v>93.8</v>
      </c>
      <c r="K27" s="3049">
        <f t="shared" si="2"/>
        <v>3.2999999999999972</v>
      </c>
      <c r="L27" s="3049" t="s">
        <v>2568</v>
      </c>
      <c r="M27" s="3049">
        <v>3</v>
      </c>
    </row>
    <row r="28" spans="1:13">
      <c r="A28" s="3031" t="s">
        <v>2527</v>
      </c>
      <c r="B28" s="3032"/>
      <c r="C28" s="3032"/>
      <c r="D28" s="3032"/>
      <c r="E28" s="3032"/>
      <c r="F28" s="3032"/>
      <c r="G28" s="3033"/>
      <c r="I28" s="3049">
        <v>40</v>
      </c>
      <c r="J28" s="3049">
        <v>96.4</v>
      </c>
      <c r="K28" s="3049">
        <f t="shared" si="2"/>
        <v>2.6000000000000085</v>
      </c>
      <c r="L28" s="3049" t="s">
        <v>2569</v>
      </c>
      <c r="M28" s="3049">
        <v>2</v>
      </c>
    </row>
    <row r="29" spans="1:13">
      <c r="A29" s="3031" t="s">
        <v>2528</v>
      </c>
      <c r="B29" s="3032"/>
      <c r="C29" s="3032"/>
      <c r="D29" s="3032"/>
      <c r="E29" s="3032"/>
      <c r="F29" s="3032"/>
      <c r="G29" s="3033"/>
      <c r="I29" s="3049">
        <v>45</v>
      </c>
      <c r="J29" s="3049">
        <v>98.4</v>
      </c>
      <c r="K29" s="3049">
        <f t="shared" si="2"/>
        <v>2</v>
      </c>
    </row>
    <row r="30" spans="1:13">
      <c r="A30" s="3031" t="s">
        <v>2529</v>
      </c>
      <c r="B30" s="3032"/>
      <c r="C30" s="3032"/>
      <c r="D30" s="3032"/>
      <c r="E30" s="3032"/>
      <c r="F30" s="3032"/>
      <c r="G30" s="3033"/>
      <c r="I30" s="3049">
        <v>50</v>
      </c>
      <c r="J30" s="3049">
        <v>100</v>
      </c>
      <c r="K30" s="3049">
        <f t="shared" si="2"/>
        <v>1.5999999999999943</v>
      </c>
    </row>
    <row r="31" spans="1:13">
      <c r="A31" s="3031" t="s">
        <v>2530</v>
      </c>
      <c r="B31" s="3032"/>
      <c r="C31" s="3032"/>
      <c r="D31" s="3032"/>
      <c r="E31" s="3032"/>
      <c r="F31" s="3032"/>
      <c r="G31" s="3033"/>
      <c r="I31" s="3049" t="s">
        <v>2561</v>
      </c>
    </row>
    <row r="32" spans="1:13">
      <c r="A32" s="3031" t="s">
        <v>2531</v>
      </c>
      <c r="B32" s="3032"/>
      <c r="C32" s="3032"/>
      <c r="D32" s="3032"/>
      <c r="E32" s="3032"/>
      <c r="F32" s="3032"/>
      <c r="G32" s="3033"/>
    </row>
    <row r="33" spans="1:13">
      <c r="A33" s="3031" t="s">
        <v>2532</v>
      </c>
      <c r="B33" s="3032"/>
      <c r="C33" s="3032"/>
      <c r="D33" s="3032"/>
      <c r="E33" s="3032"/>
      <c r="F33" s="3032"/>
      <c r="G33" s="3033"/>
      <c r="I33" s="3049" t="s">
        <v>2560</v>
      </c>
      <c r="J33" s="3049" t="s">
        <v>2570</v>
      </c>
    </row>
    <row r="34" spans="1:13">
      <c r="A34" s="3031" t="s">
        <v>2533</v>
      </c>
      <c r="B34" s="3032"/>
      <c r="C34" s="3032"/>
      <c r="D34" s="3032"/>
      <c r="E34" s="3032"/>
      <c r="F34" s="3032"/>
      <c r="G34" s="3033"/>
      <c r="I34" s="3049">
        <v>5</v>
      </c>
      <c r="J34" s="3049">
        <v>55.1</v>
      </c>
    </row>
    <row r="35" spans="1:13">
      <c r="A35" s="3031" t="s">
        <v>2534</v>
      </c>
      <c r="B35" s="3032"/>
      <c r="C35" s="3032"/>
      <c r="D35" s="3032"/>
      <c r="E35" s="3032"/>
      <c r="F35" s="3032"/>
      <c r="G35" s="3033"/>
      <c r="I35" s="3049">
        <v>10</v>
      </c>
      <c r="J35" s="3049">
        <v>67</v>
      </c>
      <c r="K35" s="3049">
        <f>J35-J34</f>
        <v>11.899999999999999</v>
      </c>
    </row>
    <row r="36" spans="1:13">
      <c r="A36" s="3031" t="s">
        <v>2535</v>
      </c>
      <c r="B36" s="3032"/>
      <c r="C36" s="3032"/>
      <c r="D36" s="3032"/>
      <c r="E36" s="3032"/>
      <c r="F36" s="3032"/>
      <c r="G36" s="3033"/>
      <c r="I36" s="3049">
        <v>15</v>
      </c>
      <c r="J36" s="3049">
        <v>76.3</v>
      </c>
      <c r="K36" s="3049">
        <f t="shared" ref="K36:K41" si="3">J36-J35</f>
        <v>9.2999999999999972</v>
      </c>
      <c r="L36" s="3049" t="s">
        <v>2563</v>
      </c>
      <c r="M36" s="3049" t="s">
        <v>2564</v>
      </c>
    </row>
    <row r="37" spans="1:13">
      <c r="A37" s="3031" t="s">
        <v>2536</v>
      </c>
      <c r="B37" s="3032"/>
      <c r="C37" s="3032"/>
      <c r="D37" s="3032"/>
      <c r="E37" s="3032"/>
      <c r="F37" s="3032"/>
      <c r="G37" s="3033"/>
      <c r="I37" s="3049">
        <v>20</v>
      </c>
      <c r="J37" s="3049">
        <v>83.6</v>
      </c>
      <c r="K37" s="3049">
        <f t="shared" si="3"/>
        <v>7.2999999999999972</v>
      </c>
      <c r="L37" s="3049" t="s">
        <v>2562</v>
      </c>
      <c r="M37" s="3049">
        <v>10</v>
      </c>
    </row>
    <row r="38" spans="1:13">
      <c r="A38" s="3031" t="s">
        <v>2537</v>
      </c>
      <c r="B38" s="3032"/>
      <c r="C38" s="3032"/>
      <c r="D38" s="3032"/>
      <c r="E38" s="3032"/>
      <c r="F38" s="3032"/>
      <c r="G38" s="3033"/>
      <c r="I38" s="3049">
        <v>25</v>
      </c>
      <c r="J38" s="3049">
        <v>89.3</v>
      </c>
      <c r="K38" s="3049">
        <f t="shared" si="3"/>
        <v>5.7000000000000028</v>
      </c>
      <c r="L38" s="3049" t="s">
        <v>2566</v>
      </c>
      <c r="M38" s="3049">
        <v>8</v>
      </c>
    </row>
    <row r="39" spans="1:13">
      <c r="A39" s="3031"/>
      <c r="B39" s="3032"/>
      <c r="C39" s="3032"/>
      <c r="D39" s="3032"/>
      <c r="E39" s="3032"/>
      <c r="F39" s="3032"/>
      <c r="G39" s="3033"/>
      <c r="I39" s="3049">
        <v>30</v>
      </c>
      <c r="J39" s="3049">
        <v>93.8</v>
      </c>
      <c r="K39" s="3049">
        <f t="shared" si="3"/>
        <v>4.5</v>
      </c>
      <c r="L39" s="3049" t="s">
        <v>2567</v>
      </c>
      <c r="M39" s="3049">
        <v>6</v>
      </c>
    </row>
    <row r="40" spans="1:13">
      <c r="A40" s="3034" t="s">
        <v>2538</v>
      </c>
      <c r="B40" s="3035"/>
      <c r="C40" s="3035"/>
      <c r="D40" s="3035"/>
      <c r="E40" s="3035"/>
      <c r="F40" s="3035"/>
      <c r="G40" s="3036"/>
      <c r="I40" s="3049">
        <v>35</v>
      </c>
      <c r="J40" s="3049">
        <v>97.2</v>
      </c>
      <c r="K40" s="3049">
        <f t="shared" si="3"/>
        <v>3.4000000000000057</v>
      </c>
      <c r="L40" s="3049" t="s">
        <v>2568</v>
      </c>
      <c r="M40" s="3049">
        <v>3</v>
      </c>
    </row>
    <row r="41" spans="1:13">
      <c r="A41" s="3037" t="s">
        <v>2539</v>
      </c>
      <c r="B41" s="3038" t="s">
        <v>2540</v>
      </c>
      <c r="C41" s="3039" t="s">
        <v>2541</v>
      </c>
      <c r="D41" s="3039" t="s">
        <v>2542</v>
      </c>
      <c r="E41" s="3040"/>
      <c r="F41" s="3041"/>
      <c r="G41" s="3042"/>
      <c r="I41" s="3049">
        <v>40</v>
      </c>
      <c r="J41" s="3049">
        <v>100</v>
      </c>
      <c r="K41" s="3049">
        <f t="shared" si="3"/>
        <v>2.7999999999999972</v>
      </c>
    </row>
    <row r="42" spans="1:13">
      <c r="A42" s="3037" t="s">
        <v>2543</v>
      </c>
      <c r="B42" s="3038" t="s">
        <v>2544</v>
      </c>
      <c r="C42" s="3039" t="s">
        <v>2545</v>
      </c>
      <c r="D42" s="3043" t="s">
        <v>2546</v>
      </c>
      <c r="E42" s="3035" t="s">
        <v>2547</v>
      </c>
      <c r="F42" s="3035"/>
      <c r="G42" s="3036"/>
    </row>
    <row r="43" spans="1:13">
      <c r="A43" s="3037" t="s">
        <v>2548</v>
      </c>
      <c r="B43" s="3038" t="s">
        <v>2549</v>
      </c>
      <c r="C43" s="3039" t="s">
        <v>2550</v>
      </c>
      <c r="D43" s="3039" t="s">
        <v>2551</v>
      </c>
      <c r="E43" s="3040" t="s">
        <v>2552</v>
      </c>
      <c r="F43" s="3041"/>
      <c r="G43" s="3042"/>
      <c r="I43" s="3049" t="s">
        <v>2560</v>
      </c>
      <c r="J43" s="3049" t="s">
        <v>2571</v>
      </c>
    </row>
    <row r="44" spans="1:13">
      <c r="A44" s="3037" t="s">
        <v>2553</v>
      </c>
      <c r="B44" s="3038" t="s">
        <v>2554</v>
      </c>
      <c r="C44" s="3039" t="s">
        <v>2555</v>
      </c>
      <c r="D44" s="3043">
        <v>0.5</v>
      </c>
      <c r="E44" s="3040" t="s">
        <v>2556</v>
      </c>
      <c r="F44" s="3041"/>
      <c r="G44" s="3042"/>
      <c r="I44" s="3049">
        <v>30</v>
      </c>
      <c r="J44" s="3049">
        <v>81.7</v>
      </c>
    </row>
    <row r="45" spans="1:13" ht="14.25" thickBot="1">
      <c r="A45" s="3044" t="s">
        <v>2557</v>
      </c>
      <c r="B45" s="3045" t="s">
        <v>2544</v>
      </c>
      <c r="C45" s="3046" t="s">
        <v>2544</v>
      </c>
      <c r="D45" s="3046" t="s">
        <v>2558</v>
      </c>
      <c r="E45" s="3047" t="s">
        <v>2559</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8" sqref="F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59" t="s">
        <v>2164</v>
      </c>
      <c r="B1" s="3556" t="str">
        <f>IF(B10="北京市","北京市",C10)&amp;F10&amp;IF(结果表!G1="在建","出让国有建设用地使用权及在建建筑物",IF(结果表!G1="土地","出让国有建设用地使用权",))&amp;B9&amp;"预评估"</f>
        <v>北京市房地产抵押价值预评估</v>
      </c>
      <c r="C1" s="3557"/>
      <c r="D1" s="3557"/>
      <c r="E1" s="3557"/>
      <c r="F1" s="3557"/>
      <c r="G1" s="3557"/>
      <c r="H1" s="3557"/>
      <c r="I1" s="3558"/>
      <c r="J1" s="2463"/>
      <c r="K1" s="2361"/>
      <c r="L1" s="2362"/>
      <c r="M1" s="2362"/>
      <c r="N1" s="2363"/>
      <c r="O1" s="1573"/>
      <c r="P1" s="2363"/>
      <c r="Q1" s="2363"/>
      <c r="R1" s="2363"/>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0" t="s">
        <v>2165</v>
      </c>
      <c r="B2" s="2364"/>
      <c r="C2" s="2365"/>
      <c r="D2" s="2661"/>
      <c r="E2" s="2653"/>
      <c r="F2" s="2653"/>
      <c r="G2" s="2654"/>
      <c r="H2" s="2654"/>
      <c r="I2" s="2654"/>
      <c r="J2" s="2463"/>
      <c r="K2" s="2361"/>
      <c r="L2" s="2362"/>
      <c r="M2" s="2362"/>
      <c r="N2" s="2363"/>
      <c r="O2" s="1573"/>
      <c r="P2" s="2363"/>
      <c r="Q2" s="2363"/>
      <c r="R2" s="2363"/>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2166</v>
      </c>
      <c r="B3" s="2366">
        <v>45124</v>
      </c>
      <c r="C3" s="2367" t="s">
        <v>2167</v>
      </c>
      <c r="D3" s="2366">
        <f>B3</f>
        <v>45124</v>
      </c>
      <c r="E3" s="2654"/>
      <c r="F3" s="2654"/>
      <c r="G3" s="2654"/>
      <c r="H3" s="2654"/>
      <c r="I3" s="2654"/>
      <c r="J3" s="2463"/>
      <c r="K3" s="2361"/>
      <c r="L3" s="2362"/>
      <c r="M3" s="2362"/>
      <c r="N3" s="2363"/>
      <c r="O3" s="1573"/>
      <c r="P3" s="2363"/>
      <c r="Q3" s="2363"/>
      <c r="R3" s="2363"/>
      <c r="S3" s="1679"/>
      <c r="T3" s="1742"/>
      <c r="U3" s="1742"/>
      <c r="V3" s="1742"/>
      <c r="W3" s="1742"/>
      <c r="X3" s="1742"/>
      <c r="Y3" s="1742"/>
      <c r="Z3" s="1742"/>
      <c r="AA3" s="1742"/>
      <c r="AB3" s="1742"/>
    </row>
    <row r="4" spans="1:30" ht="13.5" thickBot="1">
      <c r="A4" s="1090" t="s">
        <v>2168</v>
      </c>
      <c r="B4" s="2368" t="s">
        <v>3371</v>
      </c>
      <c r="C4" s="2369">
        <f ca="1">SUMIF(注册房地产估价师,B4,估价师及机构信息!B3:B24)</f>
        <v>1120100036</v>
      </c>
      <c r="D4" s="2368" t="s">
        <v>3372</v>
      </c>
      <c r="E4" s="2370">
        <f ca="1">SUMIF(注册房地产估价师,D4,估价师及机构信息!B3:B24)</f>
        <v>1120070131</v>
      </c>
      <c r="F4" s="2368"/>
      <c r="G4" s="2370">
        <f>SUMIF(注册房地产估价师,F4,估价师及机构信息!B3:B24)</f>
        <v>0</v>
      </c>
      <c r="H4" s="2368"/>
      <c r="I4" s="2370">
        <f>SUMIF(注册房地产估价师,H4,估价师及机构信息!B3:B24)</f>
        <v>0</v>
      </c>
      <c r="J4" s="2432"/>
      <c r="K4" s="2371" t="str">
        <f ca="1">CONCATENATE(B4,"（注册号：",C4,")、",D4,"（注册号：",E4,")")</f>
        <v>崔锴（注册号：1120100036)、郑燚（注册号：1120070131)</v>
      </c>
      <c r="L4" s="2362"/>
      <c r="M4" s="2362"/>
      <c r="N4" s="2363"/>
      <c r="O4" s="1573"/>
      <c r="P4" s="2363"/>
      <c r="Q4" s="2363"/>
      <c r="R4" s="2363"/>
      <c r="S4" s="1679"/>
      <c r="T4" s="1742"/>
      <c r="U4" s="1742"/>
      <c r="V4" s="1742"/>
      <c r="W4" s="1742"/>
      <c r="X4" s="1742"/>
      <c r="Y4" s="1742"/>
      <c r="Z4" s="1742"/>
      <c r="AA4" s="1742"/>
      <c r="AB4" s="1742"/>
    </row>
    <row r="5" spans="1:30" ht="13.5" thickTop="1">
      <c r="A5" s="2372" t="s">
        <v>2169</v>
      </c>
      <c r="B5" s="2373"/>
      <c r="C5" s="2374"/>
      <c r="D5" s="2375"/>
      <c r="E5" s="2655"/>
      <c r="F5" s="2655"/>
      <c r="G5" s="2655"/>
      <c r="H5" s="2655"/>
      <c r="I5" s="2655"/>
      <c r="J5" s="2432"/>
      <c r="K5" s="2371" t="str">
        <f>IF(F4="——","",IF(H4="——",F4&amp;"（注册号："&amp;G4&amp;")",CONCATENATE(F4,"（注册号：",G4,")、",H4,"（注册号：",I4,")")))</f>
        <v>（注册号：0)、（注册号：0)</v>
      </c>
      <c r="L5" s="2362"/>
      <c r="M5" s="2362"/>
      <c r="N5" s="2363"/>
      <c r="O5" s="1573"/>
      <c r="P5" s="2363"/>
      <c r="Q5" s="2363"/>
      <c r="R5" s="2363"/>
      <c r="S5" s="1742"/>
      <c r="T5" s="1742"/>
      <c r="U5" s="1742"/>
      <c r="V5" s="1742"/>
      <c r="W5" s="1742"/>
      <c r="X5" s="1742"/>
      <c r="Y5" s="1742"/>
      <c r="Z5" s="1742"/>
      <c r="AA5" s="1742"/>
      <c r="AB5" s="1742"/>
    </row>
    <row r="6" spans="1:30">
      <c r="A6" s="2376" t="s">
        <v>2170</v>
      </c>
      <c r="B6" s="2377"/>
      <c r="C6" s="2378"/>
      <c r="D6" s="2379"/>
      <c r="E6" s="2653"/>
      <c r="F6" s="2655"/>
      <c r="G6" s="2655"/>
      <c r="H6" s="2655"/>
      <c r="I6" s="2655"/>
      <c r="J6" s="2432"/>
      <c r="K6" s="2606" t="str">
        <f>IF(COUNTIF(B6,"*上海银行*"),"上海银行","")</f>
        <v/>
      </c>
      <c r="L6" s="2604"/>
      <c r="M6" s="2604"/>
      <c r="N6" s="2432"/>
      <c r="O6" s="2443"/>
      <c r="P6" s="2432"/>
      <c r="Q6" s="2432"/>
      <c r="R6" s="2432"/>
    </row>
    <row r="7" spans="1:30">
      <c r="A7" s="2376" t="s">
        <v>2171</v>
      </c>
      <c r="B7" s="2380"/>
      <c r="C7" s="2378"/>
      <c r="D7" s="2379"/>
      <c r="E7" s="2653"/>
      <c r="F7" s="2655"/>
      <c r="G7" s="2655"/>
      <c r="H7" s="2655"/>
      <c r="I7" s="2655"/>
      <c r="J7" s="2432"/>
      <c r="K7" s="2607"/>
      <c r="L7" s="2604"/>
      <c r="M7" s="2604"/>
      <c r="N7" s="2432"/>
      <c r="O7" s="2443"/>
      <c r="P7" s="2432"/>
      <c r="Q7" s="2432"/>
      <c r="R7" s="2432"/>
    </row>
    <row r="8" spans="1:30">
      <c r="A8" s="2381" t="s">
        <v>2172</v>
      </c>
      <c r="B8" s="2382" t="s">
        <v>3373</v>
      </c>
      <c r="C8" s="2383"/>
      <c r="D8" s="3559" t="s">
        <v>2173</v>
      </c>
      <c r="E8" s="2384" t="s">
        <v>3374</v>
      </c>
      <c r="F8" s="2385"/>
      <c r="G8" s="2654"/>
      <c r="H8" s="2654"/>
      <c r="I8" s="2654"/>
      <c r="J8" s="2432"/>
      <c r="K8" s="2605"/>
      <c r="L8" s="2604"/>
      <c r="M8" s="2604"/>
      <c r="N8" s="2432"/>
      <c r="O8" s="2443"/>
      <c r="P8" s="2432"/>
      <c r="Q8" s="2432"/>
      <c r="R8" s="2432"/>
    </row>
    <row r="9" spans="1:30" ht="13.5" thickBot="1">
      <c r="A9" s="2386" t="s">
        <v>2174</v>
      </c>
      <c r="B9" s="2387" t="s">
        <v>3374</v>
      </c>
      <c r="C9" s="2388"/>
      <c r="D9" s="3560"/>
      <c r="E9" s="2387" t="s">
        <v>43</v>
      </c>
      <c r="F9" s="2389"/>
      <c r="G9" s="2656"/>
      <c r="H9" s="2656"/>
      <c r="I9" s="2656"/>
      <c r="J9" s="2432"/>
      <c r="K9" s="2607"/>
      <c r="L9" s="2604"/>
      <c r="M9" s="2604"/>
      <c r="N9" s="2432"/>
      <c r="O9" s="2443"/>
      <c r="P9" s="2432"/>
      <c r="Q9" s="2432"/>
      <c r="R9" s="2432"/>
    </row>
    <row r="10" spans="1:30" ht="13.5" thickTop="1">
      <c r="A10" s="2390" t="s">
        <v>2175</v>
      </c>
      <c r="B10" s="2391" t="s">
        <v>3375</v>
      </c>
      <c r="C10" s="2392"/>
      <c r="D10" s="2375"/>
      <c r="E10" s="2393" t="s">
        <v>2176</v>
      </c>
      <c r="F10" s="2657"/>
      <c r="G10" s="2658"/>
      <c r="H10" s="2659"/>
      <c r="I10" s="2660"/>
      <c r="J10" s="2432"/>
      <c r="K10" s="2607"/>
      <c r="L10" s="2604"/>
      <c r="M10" s="2604"/>
      <c r="N10" s="2432"/>
      <c r="O10" s="2443"/>
      <c r="P10" s="2432"/>
      <c r="Q10" s="2432"/>
      <c r="R10" s="2432"/>
    </row>
    <row r="11" spans="1:30">
      <c r="A11" s="2394" t="s">
        <v>2177</v>
      </c>
      <c r="B11" s="2395" t="s">
        <v>3477</v>
      </c>
      <c r="C11" s="2396"/>
      <c r="D11" s="2397"/>
      <c r="E11" s="2363"/>
      <c r="F11" s="2363"/>
      <c r="G11" s="2363"/>
      <c r="H11" s="2363"/>
      <c r="I11" s="2363"/>
      <c r="J11" s="3052"/>
      <c r="K11" s="3051"/>
      <c r="L11" s="2604"/>
      <c r="M11" s="2604"/>
      <c r="N11" s="2432"/>
      <c r="O11" s="2443"/>
      <c r="P11" s="2432"/>
      <c r="Q11" s="2432"/>
      <c r="R11" s="2432"/>
    </row>
    <row r="12" spans="1:30">
      <c r="A12" s="2398" t="s">
        <v>2178</v>
      </c>
      <c r="B12" s="323" t="s">
        <v>2179</v>
      </c>
      <c r="C12" s="2399" t="s">
        <v>2180</v>
      </c>
      <c r="D12" s="2399" t="s">
        <v>2181</v>
      </c>
      <c r="E12" s="2399" t="s">
        <v>2182</v>
      </c>
      <c r="F12" s="2399" t="s">
        <v>2183</v>
      </c>
      <c r="G12" s="2399" t="s">
        <v>2184</v>
      </c>
      <c r="H12" s="2399" t="s">
        <v>2185</v>
      </c>
      <c r="I12" s="3050" t="s">
        <v>2572</v>
      </c>
      <c r="J12" s="3053"/>
      <c r="K12" s="2604"/>
      <c r="L12" s="2604"/>
      <c r="M12" s="2432"/>
      <c r="N12" s="2443"/>
      <c r="O12" s="2432"/>
      <c r="P12" s="2432"/>
      <c r="Q12" s="2432"/>
      <c r="AD12" s="1742"/>
    </row>
    <row r="13" spans="1:30">
      <c r="A13" s="3414" t="s">
        <v>3330</v>
      </c>
      <c r="B13" s="2400" t="s">
        <v>2186</v>
      </c>
      <c r="C13" s="856">
        <v>68688</v>
      </c>
      <c r="D13" s="856">
        <v>57731</v>
      </c>
      <c r="E13" s="856"/>
      <c r="F13" s="856">
        <v>61383</v>
      </c>
      <c r="G13" s="856">
        <v>61383</v>
      </c>
      <c r="H13" s="856"/>
      <c r="I13" s="856"/>
      <c r="J13" s="3053"/>
      <c r="K13" s="2604"/>
      <c r="L13" s="2604"/>
      <c r="M13" s="2432"/>
      <c r="N13" s="2443"/>
      <c r="O13" s="2432"/>
      <c r="P13" s="2432"/>
      <c r="Q13" s="2432"/>
      <c r="AD13" s="1742"/>
    </row>
    <row r="14" spans="1:30">
      <c r="A14" s="1081"/>
      <c r="B14" s="2400" t="s">
        <v>2187</v>
      </c>
      <c r="C14" s="2401">
        <v>70</v>
      </c>
      <c r="D14" s="2401">
        <v>40</v>
      </c>
      <c r="E14" s="2401"/>
      <c r="F14" s="2401">
        <v>50</v>
      </c>
      <c r="G14" s="2401">
        <v>50</v>
      </c>
      <c r="H14" s="2401"/>
      <c r="I14" s="2401"/>
      <c r="J14" s="3054"/>
      <c r="K14" s="2604"/>
      <c r="L14" s="2604"/>
      <c r="M14" s="2432"/>
      <c r="N14" s="2443"/>
      <c r="O14" s="2432"/>
      <c r="P14" s="2432"/>
      <c r="Q14" s="2432"/>
      <c r="AD14" s="1742"/>
    </row>
    <row r="15" spans="1:30">
      <c r="A15" s="320"/>
      <c r="B15" s="2402" t="s">
        <v>2188</v>
      </c>
      <c r="C15" s="2403">
        <f>IF(A13="出让",IF(C13="","",ROUNDDOWN(MIN((C13-$D$3)/365,C14),2)),C14)</f>
        <v>64.55</v>
      </c>
      <c r="D15" s="2403">
        <f>IF(A13="出让",IF(D13="","",ROUNDDOWN(MIN((D13-$D$3)/365,D14),2)),D14)</f>
        <v>34.53</v>
      </c>
      <c r="E15" s="2403" t="str">
        <f>IF(A13="出让",IF(E13="","",ROUNDDOWN(MIN((E13-$D$3)/365,E14),2)),E14)</f>
        <v/>
      </c>
      <c r="F15" s="2403">
        <f>IF(A13="出让",IF(F13="","",ROUNDDOWN(MIN((F13-$D$3)/365,F14),2)),F14)</f>
        <v>44.54</v>
      </c>
      <c r="G15" s="2403">
        <f>IF(A13="出让",IF(G13="","",ROUNDDOWN(MIN((G13-$D$3)/365,G14),2)),G14)</f>
        <v>44.54</v>
      </c>
      <c r="H15" s="2403" t="str">
        <f>IF(A13="出让",IF(H13="","",ROUNDDOWN(MIN((H13-$D$3)/365,H14),2)),H14)</f>
        <v/>
      </c>
      <c r="I15" s="2403" t="str">
        <f>IF(A13="出让",IF(I13="","",ROUNDDOWN(MIN((I13-$D$3)/365,I14),2)),I14)</f>
        <v/>
      </c>
      <c r="J15" s="3055"/>
      <c r="K15" s="2444"/>
      <c r="L15" s="2444"/>
      <c r="M15" s="2500"/>
      <c r="N15" s="2444"/>
      <c r="O15" s="2500"/>
      <c r="P15" s="2432"/>
      <c r="Q15" s="2432"/>
      <c r="AD15" s="1742"/>
    </row>
    <row r="16" spans="1:30">
      <c r="A16" s="2393" t="s">
        <v>2189</v>
      </c>
      <c r="B16" s="3566"/>
      <c r="C16" s="3567"/>
      <c r="D16" s="3568"/>
      <c r="E16" s="2406" t="s">
        <v>2190</v>
      </c>
      <c r="F16" s="3569"/>
      <c r="G16" s="3570"/>
      <c r="H16" s="3570"/>
      <c r="I16" s="3571"/>
      <c r="J16" s="2432"/>
      <c r="K16" s="2608"/>
      <c r="L16" s="2444"/>
      <c r="M16" s="2444"/>
      <c r="N16" s="2500"/>
      <c r="O16" s="2444"/>
      <c r="P16" s="2500"/>
      <c r="Q16" s="2432"/>
      <c r="R16" s="2432"/>
    </row>
    <row r="17" spans="1:28">
      <c r="A17" s="313" t="s">
        <v>2191</v>
      </c>
      <c r="B17" s="302" t="s">
        <v>2192</v>
      </c>
      <c r="C17" s="8">
        <f>'数据-汇总表'!E3</f>
        <v>155268.5</v>
      </c>
      <c r="D17" s="2315" t="s">
        <v>2193</v>
      </c>
      <c r="E17" s="3572" t="s">
        <v>2194</v>
      </c>
      <c r="F17" s="3573"/>
      <c r="G17" s="3573"/>
      <c r="H17" s="3573"/>
      <c r="I17" s="3574"/>
      <c r="J17" s="2432"/>
      <c r="K17" s="2609"/>
      <c r="L17" s="2444"/>
      <c r="M17" s="2444"/>
      <c r="N17" s="2500"/>
      <c r="O17" s="2444"/>
      <c r="P17" s="2500"/>
      <c r="Q17" s="2432"/>
      <c r="R17" s="2432"/>
      <c r="S17" s="2432"/>
      <c r="T17" s="2432"/>
      <c r="U17" s="2432"/>
      <c r="V17" s="2432"/>
    </row>
    <row r="18" spans="1:28" ht="24.75" thickBot="1">
      <c r="A18" s="2407" t="s">
        <v>2195</v>
      </c>
      <c r="B18" s="1090" t="s">
        <v>2196</v>
      </c>
      <c r="C18" s="2408">
        <f>'数据-汇总表'!D3</f>
        <v>53629.25</v>
      </c>
      <c r="D18" s="1092" t="s">
        <v>2197</v>
      </c>
      <c r="E18" s="3575" t="s">
        <v>2198</v>
      </c>
      <c r="F18" s="3576"/>
      <c r="G18" s="3576"/>
      <c r="H18" s="3576"/>
      <c r="I18" s="3577"/>
      <c r="J18" s="2432"/>
      <c r="K18" s="2609"/>
      <c r="L18" s="2444"/>
      <c r="M18" s="2444"/>
      <c r="N18" s="2500"/>
      <c r="O18" s="2444"/>
      <c r="P18" s="2500"/>
      <c r="Q18" s="2432"/>
      <c r="R18" s="2432"/>
      <c r="S18" s="2432"/>
      <c r="T18" s="2432"/>
      <c r="U18" s="2432"/>
      <c r="V18" s="2432"/>
    </row>
    <row r="19" spans="1:28" ht="37.5" thickTop="1" thickBot="1">
      <c r="A19" s="327" t="s">
        <v>1055</v>
      </c>
      <c r="B19" s="307" t="s">
        <v>2199</v>
      </c>
      <c r="C19" s="1560"/>
      <c r="D19" s="1561" t="s">
        <v>2200</v>
      </c>
      <c r="E19" s="1562"/>
      <c r="F19" s="1563" t="str">
        <f>IF(AND(C19="是",E19="否"),"是否提供他项权证或相关说明","")</f>
        <v/>
      </c>
      <c r="G19" s="1564"/>
      <c r="H19" s="2655"/>
      <c r="I19" s="2655"/>
      <c r="J19" s="2432"/>
      <c r="K19" s="2607"/>
      <c r="L19" s="2604"/>
      <c r="M19" s="2604"/>
      <c r="N19" s="2500"/>
      <c r="O19" s="2444"/>
      <c r="P19" s="2500"/>
      <c r="Q19" s="2432"/>
      <c r="R19" s="2432"/>
      <c r="S19" s="2432"/>
      <c r="T19" s="2432"/>
      <c r="U19" s="2432"/>
      <c r="V19" s="2432"/>
    </row>
    <row r="20" spans="1:28">
      <c r="A20" s="2623" t="s">
        <v>2201</v>
      </c>
      <c r="B20" s="3562" t="s">
        <v>2202</v>
      </c>
      <c r="C20" s="3563"/>
      <c r="D20" s="3564" t="s">
        <v>2203</v>
      </c>
      <c r="E20" s="3565"/>
      <c r="F20" s="2638" t="s">
        <v>1056</v>
      </c>
      <c r="G20" s="2655"/>
      <c r="H20" s="2655"/>
      <c r="I20" s="2655"/>
      <c r="J20" s="2432"/>
      <c r="K20" s="3561"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2"/>
      <c r="X20" s="1742"/>
      <c r="Y20" s="1742"/>
      <c r="Z20" s="1742"/>
      <c r="AA20" s="1742"/>
      <c r="AB20" s="1742"/>
    </row>
    <row r="21" spans="1:28" ht="24.75" thickBot="1">
      <c r="A21" s="2623"/>
      <c r="B21" s="2624" t="s">
        <v>2205</v>
      </c>
      <c r="C21" s="2625" t="s">
        <v>1057</v>
      </c>
      <c r="D21" s="1565" t="s">
        <v>2206</v>
      </c>
      <c r="E21" s="2626" t="s">
        <v>1057</v>
      </c>
      <c r="F21" s="2639"/>
      <c r="G21" s="2655"/>
      <c r="H21" s="2655"/>
      <c r="I21" s="2655"/>
      <c r="J21" s="2432"/>
      <c r="K21" s="35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2"/>
      <c r="X21" s="1742"/>
      <c r="Y21" s="1742"/>
      <c r="Z21" s="1742"/>
      <c r="AA21" s="1742"/>
      <c r="AB21" s="1742"/>
    </row>
    <row r="22" spans="1:28" ht="24.75" thickBot="1">
      <c r="A22" s="2623"/>
      <c r="B22" s="2627" t="s">
        <v>2207</v>
      </c>
      <c r="C22" s="2625" t="s">
        <v>1058</v>
      </c>
      <c r="D22" s="2654"/>
      <c r="E22" s="2654"/>
      <c r="F22" s="2654"/>
      <c r="G22" s="2655"/>
      <c r="H22" s="2655"/>
      <c r="I22" s="2655"/>
      <c r="J22" s="2432"/>
      <c r="K22" s="356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2"/>
      <c r="X22" s="1742"/>
      <c r="Y22" s="1742"/>
      <c r="Z22" s="1742"/>
      <c r="AA22" s="1742"/>
      <c r="AB22" s="1742"/>
    </row>
    <row r="23" spans="1:28">
      <c r="A23" s="2628" t="s">
        <v>2208</v>
      </c>
      <c r="B23" s="2493" t="s">
        <v>2209</v>
      </c>
      <c r="C23" s="2629"/>
      <c r="D23" s="2630" t="s">
        <v>2209</v>
      </c>
      <c r="E23" s="2631"/>
      <c r="F23" s="2654"/>
      <c r="G23" s="2655"/>
      <c r="H23" s="2655"/>
      <c r="I23" s="2655"/>
      <c r="J23" s="2432"/>
      <c r="K23" s="2610"/>
      <c r="L23" s="2467"/>
      <c r="M23" s="2604"/>
      <c r="N23" s="2500"/>
      <c r="O23" s="2444"/>
      <c r="P23" s="2500"/>
      <c r="Q23" s="2432"/>
      <c r="R23" s="2432"/>
      <c r="S23" s="2432"/>
      <c r="T23" s="2432"/>
      <c r="U23" s="2432"/>
      <c r="V23" s="2432"/>
    </row>
    <row r="24" spans="1:28">
      <c r="A24" s="2628"/>
      <c r="B24" s="2493" t="s">
        <v>1059</v>
      </c>
      <c r="C24" s="2632"/>
      <c r="D24" s="2628" t="s">
        <v>1059</v>
      </c>
      <c r="E24" s="2633"/>
      <c r="F24" s="2654"/>
      <c r="G24" s="2655"/>
      <c r="H24" s="2655"/>
      <c r="I24" s="2655"/>
      <c r="J24" s="2432"/>
      <c r="K24" s="2610"/>
      <c r="L24" s="2467"/>
      <c r="M24" s="2604"/>
      <c r="N24" s="2500"/>
      <c r="O24" s="2444"/>
      <c r="P24" s="2500"/>
      <c r="Q24" s="2432"/>
      <c r="R24" s="2432"/>
      <c r="S24" s="2432"/>
      <c r="T24" s="2432"/>
      <c r="U24" s="2432"/>
      <c r="V24" s="2432"/>
    </row>
    <row r="25" spans="1:28">
      <c r="A25" s="2628"/>
      <c r="B25" s="2493" t="s">
        <v>1060</v>
      </c>
      <c r="C25" s="2632"/>
      <c r="D25" s="2628" t="s">
        <v>1060</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1061</v>
      </c>
      <c r="C26" s="2636"/>
      <c r="D26" s="2634" t="s">
        <v>1061</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79" t="s">
        <v>2210</v>
      </c>
      <c r="B27" s="320" t="s">
        <v>2211</v>
      </c>
      <c r="C27" s="2409" t="s">
        <v>3601</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79"/>
      <c r="B28" s="302" t="s">
        <v>2212</v>
      </c>
      <c r="C28" s="2411"/>
      <c r="D28" s="2412"/>
      <c r="E28" s="2655"/>
      <c r="F28" s="2655"/>
      <c r="G28" s="2655"/>
      <c r="H28" s="2655"/>
      <c r="I28" s="2655"/>
      <c r="J28" s="2432"/>
      <c r="K28" s="2607"/>
      <c r="L28" s="2604"/>
      <c r="M28" s="2604"/>
      <c r="N28" s="2432"/>
      <c r="O28" s="2443"/>
      <c r="P28" s="2432"/>
      <c r="Q28" s="2432"/>
      <c r="R28" s="2432"/>
      <c r="S28" s="2432"/>
      <c r="T28" s="2432"/>
      <c r="U28" s="2432"/>
      <c r="V28" s="2432"/>
    </row>
    <row r="29" spans="1:28">
      <c r="A29" s="3579"/>
      <c r="B29" s="302" t="s">
        <v>2213</v>
      </c>
      <c r="C29" s="2413"/>
      <c r="D29" s="2414"/>
      <c r="E29" s="2655"/>
      <c r="F29" s="2655"/>
      <c r="G29" s="2655"/>
      <c r="H29" s="2655"/>
      <c r="I29" s="2655"/>
      <c r="J29" s="2432"/>
      <c r="K29" s="2607"/>
      <c r="L29" s="2604"/>
      <c r="M29" s="2604"/>
      <c r="N29" s="2432"/>
      <c r="O29" s="2443"/>
      <c r="P29" s="2432"/>
      <c r="Q29" s="2432"/>
      <c r="R29" s="2432"/>
      <c r="S29" s="2432"/>
      <c r="T29" s="2432"/>
      <c r="U29" s="2432"/>
      <c r="V29" s="2432"/>
    </row>
    <row r="30" spans="1:28">
      <c r="A30" s="3580"/>
      <c r="B30" s="302" t="s">
        <v>2214</v>
      </c>
      <c r="C30" s="3581"/>
      <c r="D30" s="3582"/>
      <c r="E30" s="2655"/>
      <c r="F30" s="2655"/>
      <c r="G30" s="2655"/>
      <c r="H30" s="2655"/>
      <c r="I30" s="2655"/>
      <c r="J30" s="2432"/>
      <c r="K30" s="2607"/>
      <c r="L30" s="2604"/>
      <c r="M30" s="2604"/>
      <c r="N30" s="2432"/>
      <c r="O30" s="2443"/>
      <c r="P30" s="2432"/>
      <c r="Q30" s="2432"/>
      <c r="R30" s="2432"/>
      <c r="S30" s="2432"/>
      <c r="T30" s="2432"/>
      <c r="U30" s="2432"/>
      <c r="V30" s="2432"/>
    </row>
    <row r="31" spans="1:28">
      <c r="A31" s="3583" t="s">
        <v>2215</v>
      </c>
      <c r="B31" s="2415" t="s">
        <v>3599</v>
      </c>
      <c r="C31" s="2316" t="str">
        <f>IF(B31="现房","成新及维护状况正常否",IF(B31="在建","工程状态是否正常",IF(B31="土地","是否闲置","-")))</f>
        <v>工程状态是否正常</v>
      </c>
      <c r="D31" s="1370"/>
      <c r="E31" s="3469" t="s">
        <v>3600</v>
      </c>
      <c r="F31" s="2655"/>
      <c r="G31" s="2655"/>
      <c r="H31" s="2655"/>
      <c r="I31" s="2655"/>
      <c r="J31" s="2432"/>
      <c r="K31" s="2606"/>
      <c r="L31" s="2604"/>
      <c r="M31" s="2604"/>
      <c r="N31" s="2432"/>
      <c r="O31" s="2443"/>
      <c r="P31" s="2432"/>
      <c r="Q31" s="2432"/>
      <c r="R31" s="2432"/>
      <c r="S31" s="2432"/>
      <c r="T31" s="2432"/>
      <c r="U31" s="2432"/>
      <c r="V31" s="2432"/>
    </row>
    <row r="32" spans="1:28">
      <c r="A32" s="3584"/>
      <c r="B32" s="2415"/>
      <c r="C32" s="2316" t="str">
        <f>IF(B32="现房","成新及维护状况是否正常",IF(B32="在建","工程状态是否正常",IF(B32="土地","是否闲置","-")))</f>
        <v>-</v>
      </c>
      <c r="D32" s="1370"/>
      <c r="E32" s="2416"/>
      <c r="F32" s="2655"/>
      <c r="G32" s="2655"/>
      <c r="H32" s="2655"/>
      <c r="I32" s="2655"/>
      <c r="J32" s="2432"/>
      <c r="K32" s="2607"/>
      <c r="L32" s="2604"/>
      <c r="M32" s="2604"/>
      <c r="N32" s="2432"/>
      <c r="O32" s="2443"/>
      <c r="P32" s="2432"/>
      <c r="Q32" s="2432"/>
      <c r="R32" s="2432"/>
      <c r="S32" s="2432"/>
      <c r="T32" s="2432"/>
      <c r="U32" s="2432"/>
      <c r="V32" s="2432"/>
    </row>
    <row r="33" spans="1:30">
      <c r="A33" s="3584"/>
      <c r="B33" s="2418"/>
      <c r="C33" s="1587" t="str">
        <f>IF(B33="现房","成新及维护状况是否正常",IF(B33="在建","工程状态是否正常",IF(B33="土地","是否闲置","-")))</f>
        <v>-</v>
      </c>
      <c r="D33" s="1362"/>
      <c r="E33" s="2419"/>
      <c r="F33" s="2655"/>
      <c r="G33" s="2655"/>
      <c r="H33" s="2655"/>
      <c r="I33" s="2655"/>
      <c r="J33" s="2432"/>
      <c r="K33" s="2607"/>
      <c r="L33" s="2604"/>
      <c r="M33" s="2604"/>
      <c r="N33" s="2432"/>
      <c r="O33" s="2443"/>
      <c r="P33" s="2432"/>
      <c r="Q33" s="2432"/>
      <c r="R33" s="2432"/>
      <c r="S33" s="2432"/>
      <c r="T33" s="2432"/>
      <c r="U33" s="2432"/>
      <c r="V33" s="2432"/>
    </row>
    <row r="34" spans="1:30">
      <c r="A34" s="302" t="s">
        <v>2216</v>
      </c>
      <c r="B34" s="2019" t="s">
        <v>3376</v>
      </c>
      <c r="C34" s="2019" t="s">
        <v>3377</v>
      </c>
      <c r="D34" s="2019" t="s">
        <v>3378</v>
      </c>
      <c r="E34" s="2019" t="s">
        <v>3379</v>
      </c>
      <c r="F34" s="2019" t="s">
        <v>3380</v>
      </c>
      <c r="G34" s="2019" t="s">
        <v>3382</v>
      </c>
      <c r="H34" s="2019" t="s">
        <v>3381</v>
      </c>
      <c r="I34" s="2655"/>
      <c r="J34" s="2432"/>
      <c r="K34" s="2420">
        <f>COUNTIF(B34:H34,"——")</f>
        <v>0</v>
      </c>
      <c r="L34" s="323" t="s">
        <v>2217</v>
      </c>
      <c r="M34" s="323" t="s">
        <v>2218</v>
      </c>
      <c r="N34" s="323" t="s">
        <v>2219</v>
      </c>
      <c r="O34" s="323" t="s">
        <v>2220</v>
      </c>
      <c r="P34" s="323" t="s">
        <v>2221</v>
      </c>
      <c r="Q34" s="323" t="s">
        <v>2222</v>
      </c>
      <c r="R34" s="323" t="s">
        <v>2223</v>
      </c>
      <c r="S34" s="3578" t="s">
        <v>2224</v>
      </c>
      <c r="T34" s="2421" t="str">
        <f>NUMBERSTRING(7-K34,1)&amp;"通"</f>
        <v>七通</v>
      </c>
      <c r="U34" s="2432"/>
      <c r="V34" s="2432"/>
    </row>
    <row r="35" spans="1:30">
      <c r="A35" s="2422"/>
      <c r="B35" s="3585" t="s">
        <v>2225</v>
      </c>
      <c r="C35" s="3585"/>
      <c r="D35" s="3585"/>
      <c r="E35" s="3585"/>
      <c r="F35" s="664">
        <f>C10</f>
        <v>0</v>
      </c>
      <c r="G35" s="2655"/>
      <c r="H35" s="2655"/>
      <c r="I35" s="2655"/>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78"/>
      <c r="T35" s="329" t="str">
        <f>IF(T34="一通",L35,IF(T34="二通",M35,IF(T34="三通",N35,IF(T34="四通",O35,IF(T34="五通",P35,IF(T34="六通",Q35,R35))))))</f>
        <v>通路、通电、通讯、通上水、通下水、燃气、平整</v>
      </c>
      <c r="U35" s="2432"/>
      <c r="V35" s="2432"/>
    </row>
    <row r="36" spans="1:30">
      <c r="A36" s="2423"/>
      <c r="B36" s="664" t="s">
        <v>2181</v>
      </c>
      <c r="C36" s="664" t="s">
        <v>2182</v>
      </c>
      <c r="D36" s="664" t="s">
        <v>2180</v>
      </c>
      <c r="E36" s="664" t="s">
        <v>2185</v>
      </c>
      <c r="F36" s="3056" t="s">
        <v>2575</v>
      </c>
      <c r="G36" s="2655"/>
      <c r="H36" s="2655"/>
      <c r="I36" s="2655"/>
      <c r="J36" s="2432"/>
      <c r="K36" s="2607"/>
      <c r="L36" s="2604"/>
      <c r="M36" s="2604"/>
      <c r="N36" s="2432"/>
      <c r="O36" s="2443"/>
      <c r="P36" s="2432"/>
      <c r="Q36" s="2432"/>
      <c r="R36" s="2432"/>
      <c r="S36" s="2432"/>
      <c r="T36" s="2432"/>
      <c r="U36" s="2432"/>
      <c r="V36" s="2432"/>
    </row>
    <row r="37" spans="1:30">
      <c r="A37" s="2621" t="s">
        <v>2226</v>
      </c>
      <c r="B37" s="2424" t="s">
        <v>306</v>
      </c>
      <c r="C37" s="2424" t="s">
        <v>306</v>
      </c>
      <c r="D37" s="2424" t="s">
        <v>306</v>
      </c>
      <c r="E37" s="2424"/>
      <c r="F37" s="2424"/>
      <c r="G37" s="2655"/>
      <c r="H37" s="2655"/>
      <c r="I37" s="2655"/>
      <c r="J37" s="2432"/>
      <c r="K37" s="2607"/>
      <c r="L37" s="2604"/>
      <c r="M37" s="2604"/>
      <c r="N37" s="2432"/>
      <c r="O37" s="2443"/>
      <c r="P37" s="2432"/>
      <c r="Q37" s="2432"/>
      <c r="R37" s="2432"/>
      <c r="S37" s="2432"/>
      <c r="T37" s="2432"/>
      <c r="U37" s="2432"/>
      <c r="V37" s="2432"/>
    </row>
    <row r="38" spans="1:30" ht="13.5" thickBot="1">
      <c r="A38" s="2622" t="s">
        <v>2227</v>
      </c>
      <c r="B38" s="2425" t="s">
        <v>192</v>
      </c>
      <c r="C38" s="2425" t="s">
        <v>192</v>
      </c>
      <c r="D38" s="2425" t="s">
        <v>192</v>
      </c>
      <c r="E38" s="2425"/>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2228</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3"/>
      <c r="B40" s="2363"/>
      <c r="C40" s="2363"/>
      <c r="D40" s="2363"/>
      <c r="E40" s="2363"/>
      <c r="F40" s="2363"/>
      <c r="G40" s="2363"/>
      <c r="H40" s="2363"/>
      <c r="I40" s="1575"/>
      <c r="J40" s="2500"/>
      <c r="K40" s="2606"/>
      <c r="L40" s="2444"/>
      <c r="M40" s="2444"/>
      <c r="N40" s="2500"/>
      <c r="O40" s="2444"/>
      <c r="P40" s="2432"/>
      <c r="Q40" s="2432"/>
      <c r="R40" s="2432"/>
      <c r="S40" s="2432"/>
      <c r="T40" s="2432"/>
      <c r="U40" s="2432"/>
      <c r="V40" s="2432"/>
    </row>
    <row r="41" spans="1:30">
      <c r="A41" s="2429" t="s">
        <v>2229</v>
      </c>
      <c r="B41" s="1754"/>
      <c r="C41" s="1370"/>
      <c r="D41" s="2363"/>
      <c r="E41" s="2363"/>
      <c r="F41" s="2363"/>
      <c r="G41" s="2363"/>
      <c r="H41" s="2363"/>
      <c r="I41" s="1573"/>
      <c r="J41" s="2432"/>
      <c r="K41" s="2607"/>
      <c r="L41" s="2604"/>
      <c r="M41" s="2604"/>
      <c r="N41" s="2432"/>
      <c r="O41" s="2443"/>
      <c r="P41" s="2432"/>
      <c r="Q41" s="2432"/>
      <c r="R41" s="2432"/>
      <c r="S41" s="2432"/>
      <c r="T41" s="2432"/>
      <c r="U41" s="2432"/>
      <c r="V41" s="2432"/>
    </row>
    <row r="42" spans="1:30" ht="25.5">
      <c r="A42" s="323" t="s">
        <v>2230</v>
      </c>
      <c r="B42" s="8" t="s">
        <v>2231</v>
      </c>
      <c r="C42" s="8" t="s">
        <v>2232</v>
      </c>
      <c r="D42" s="8" t="s">
        <v>2233</v>
      </c>
      <c r="E42" s="8" t="s">
        <v>2234</v>
      </c>
      <c r="F42" s="8" t="s">
        <v>2235</v>
      </c>
      <c r="G42" s="8" t="s">
        <v>2236</v>
      </c>
      <c r="H42" s="8" t="s">
        <v>2237</v>
      </c>
      <c r="I42" s="8" t="s">
        <v>2238</v>
      </c>
      <c r="J42" s="2617" t="s">
        <v>2239</v>
      </c>
      <c r="K42" s="2618" t="s">
        <v>2240</v>
      </c>
      <c r="L42" s="2618" t="s">
        <v>2241</v>
      </c>
      <c r="M42" s="2618" t="s">
        <v>2242</v>
      </c>
      <c r="N42" s="2611" t="s">
        <v>2243</v>
      </c>
      <c r="O42" s="2611" t="s">
        <v>2244</v>
      </c>
      <c r="P42" s="2611" t="s">
        <v>2245</v>
      </c>
      <c r="Q42" s="2612" t="s">
        <v>2246</v>
      </c>
      <c r="R42" s="2612" t="s">
        <v>2247</v>
      </c>
      <c r="S42" s="2432"/>
      <c r="T42" s="2432"/>
      <c r="U42" s="2432"/>
      <c r="V42" s="2432"/>
    </row>
    <row r="43" spans="1:30" s="1740" customFormat="1">
      <c r="A43" s="1567"/>
      <c r="B43" s="1051"/>
      <c r="C43" s="1051"/>
      <c r="D43" s="1051"/>
      <c r="E43" s="1051"/>
      <c r="F43" s="1051"/>
      <c r="G43" s="1051"/>
      <c r="H43" s="1051"/>
      <c r="I43" s="1051"/>
      <c r="J43" s="2430"/>
      <c r="K43" s="2431"/>
      <c r="L43" s="2431"/>
      <c r="M43" s="1051"/>
      <c r="N43" s="1051"/>
      <c r="O43" s="1051"/>
      <c r="P43" s="1051"/>
      <c r="Q43" s="1051"/>
      <c r="R43" s="1051"/>
      <c r="S43" s="2432"/>
      <c r="T43" s="2432"/>
      <c r="U43" s="2432"/>
      <c r="V43" s="2432"/>
    </row>
    <row r="44" spans="1:30" s="1740" customFormat="1">
      <c r="A44" s="1567"/>
      <c r="B44" s="1567"/>
      <c r="C44" s="1051"/>
      <c r="D44" s="1051"/>
      <c r="E44" s="1051"/>
      <c r="F44" s="1051"/>
      <c r="G44" s="1051"/>
      <c r="H44" s="1051"/>
      <c r="I44" s="1051"/>
      <c r="J44" s="2430"/>
      <c r="K44" s="2431"/>
      <c r="L44" s="2431"/>
      <c r="M44" s="1051"/>
      <c r="N44" s="1051"/>
      <c r="O44" s="1051"/>
      <c r="P44" s="1051"/>
      <c r="Q44" s="1051"/>
      <c r="R44" s="1051"/>
      <c r="S44" s="2432"/>
      <c r="T44" s="2432"/>
      <c r="U44" s="2432"/>
      <c r="V44" s="2432"/>
    </row>
    <row r="45" spans="1:30" s="1740" customFormat="1">
      <c r="A45" s="1567"/>
      <c r="B45" s="1567"/>
      <c r="C45" s="1051"/>
      <c r="D45" s="1051"/>
      <c r="E45" s="1051"/>
      <c r="F45" s="1051"/>
      <c r="G45" s="1051"/>
      <c r="H45" s="1051"/>
      <c r="I45" s="1051"/>
      <c r="J45" s="2430"/>
      <c r="K45" s="2431"/>
      <c r="L45" s="2431"/>
      <c r="M45" s="1051"/>
      <c r="N45" s="1051"/>
      <c r="O45" s="1051"/>
      <c r="P45" s="1051"/>
      <c r="Q45" s="1051"/>
      <c r="R45" s="1051"/>
      <c r="S45" s="2432"/>
      <c r="T45" s="2432"/>
      <c r="U45" s="2432"/>
      <c r="V45" s="2432"/>
    </row>
    <row r="46" spans="1:30" s="1740" customFormat="1">
      <c r="A46" s="1567"/>
      <c r="B46" s="1567"/>
      <c r="C46" s="1051"/>
      <c r="D46" s="1051"/>
      <c r="E46" s="1051"/>
      <c r="F46" s="1051"/>
      <c r="G46" s="1051"/>
      <c r="H46" s="1051"/>
      <c r="I46" s="1051"/>
      <c r="J46" s="2430"/>
      <c r="K46" s="2431"/>
      <c r="L46" s="2431"/>
      <c r="M46" s="1051"/>
      <c r="N46" s="1051"/>
      <c r="O46" s="1051"/>
      <c r="P46" s="1051"/>
      <c r="Q46" s="1051"/>
      <c r="R46" s="1051"/>
      <c r="S46" s="2432"/>
      <c r="T46" s="2432"/>
      <c r="U46" s="2432"/>
      <c r="V46" s="2432"/>
    </row>
    <row r="47" spans="1:30" s="1740" customFormat="1">
      <c r="A47" s="1567"/>
      <c r="B47" s="1567"/>
      <c r="C47" s="1051"/>
      <c r="D47" s="1051"/>
      <c r="E47" s="1051"/>
      <c r="F47" s="1051"/>
      <c r="G47" s="1051"/>
      <c r="H47" s="1051"/>
      <c r="I47" s="1051"/>
      <c r="J47" s="2430"/>
      <c r="K47" s="2431"/>
      <c r="L47" s="2431"/>
      <c r="M47" s="1051"/>
      <c r="N47" s="1051"/>
      <c r="O47" s="1051"/>
      <c r="P47" s="1051"/>
      <c r="Q47" s="1051"/>
      <c r="R47" s="1051"/>
      <c r="S47" s="2432"/>
      <c r="T47" s="2432"/>
      <c r="U47" s="2432"/>
      <c r="V47" s="2432"/>
    </row>
    <row r="48" spans="1:30" s="1740" customFormat="1">
      <c r="A48" s="1567"/>
      <c r="B48" s="1567"/>
      <c r="C48" s="1051"/>
      <c r="D48" s="1051"/>
      <c r="E48" s="1051"/>
      <c r="F48" s="1051"/>
      <c r="G48" s="1051"/>
      <c r="H48" s="1051"/>
      <c r="I48" s="1051"/>
      <c r="J48" s="2430"/>
      <c r="K48" s="2431"/>
      <c r="L48" s="2431"/>
      <c r="M48" s="1051"/>
      <c r="N48" s="1051"/>
      <c r="O48" s="1051"/>
      <c r="P48" s="1051"/>
      <c r="Q48" s="1051"/>
      <c r="R48" s="1051"/>
      <c r="S48" s="2432"/>
      <c r="T48" s="2432"/>
      <c r="U48" s="2432"/>
      <c r="V48" s="2432"/>
    </row>
    <row r="49" spans="1:22" s="1740" customFormat="1">
      <c r="A49" s="1567"/>
      <c r="B49" s="1567"/>
      <c r="C49" s="1051"/>
      <c r="D49" s="1051"/>
      <c r="E49" s="1051"/>
      <c r="F49" s="1051"/>
      <c r="G49" s="1051"/>
      <c r="H49" s="1051"/>
      <c r="I49" s="1051"/>
      <c r="J49" s="2430"/>
      <c r="K49" s="2431"/>
      <c r="L49" s="2431"/>
      <c r="M49" s="1051"/>
      <c r="N49" s="1051"/>
      <c r="O49" s="1051"/>
      <c r="P49" s="1051"/>
      <c r="Q49" s="1051"/>
      <c r="R49" s="1051"/>
      <c r="S49" s="2432"/>
      <c r="T49" s="2432"/>
      <c r="U49" s="2432"/>
      <c r="V49" s="2432"/>
    </row>
    <row r="50" spans="1:22" s="1740" customFormat="1">
      <c r="A50" s="1567"/>
      <c r="B50" s="1567"/>
      <c r="C50" s="1051"/>
      <c r="D50" s="1051"/>
      <c r="E50" s="1051"/>
      <c r="F50" s="1051"/>
      <c r="G50" s="1051"/>
      <c r="H50" s="1051"/>
      <c r="I50" s="1051"/>
      <c r="J50" s="2430"/>
      <c r="K50" s="2431"/>
      <c r="L50" s="2431"/>
      <c r="M50" s="1051"/>
      <c r="N50" s="1051"/>
      <c r="O50" s="1051"/>
      <c r="P50" s="1051"/>
      <c r="Q50" s="1051"/>
      <c r="R50" s="1051"/>
      <c r="S50" s="2432"/>
      <c r="T50" s="2432"/>
      <c r="U50" s="2432"/>
      <c r="V50" s="2432"/>
    </row>
    <row r="51" spans="1:22" s="1740" customFormat="1">
      <c r="A51" s="1567"/>
      <c r="B51" s="1567"/>
      <c r="C51" s="1051"/>
      <c r="D51" s="1051"/>
      <c r="E51" s="1051"/>
      <c r="F51" s="1051"/>
      <c r="G51" s="1051"/>
      <c r="H51" s="1051"/>
      <c r="I51" s="1051"/>
      <c r="J51" s="2430"/>
      <c r="K51" s="2431"/>
      <c r="L51" s="2431"/>
      <c r="M51" s="1051"/>
      <c r="N51" s="1051"/>
      <c r="O51" s="1051"/>
      <c r="P51" s="1051"/>
      <c r="Q51" s="1051"/>
      <c r="R51" s="1051"/>
    </row>
    <row r="52" spans="1:22" s="1740" customFormat="1">
      <c r="A52" s="1567"/>
      <c r="B52" s="1567"/>
      <c r="C52" s="1567"/>
      <c r="D52" s="1567"/>
      <c r="E52" s="1567"/>
      <c r="F52" s="1051"/>
      <c r="G52" s="1567"/>
      <c r="H52" s="1567"/>
      <c r="I52" s="1567"/>
      <c r="J52" s="2433"/>
      <c r="K52" s="2431"/>
      <c r="L52" s="2431"/>
      <c r="M52" s="2431"/>
      <c r="N52" s="1567"/>
      <c r="O52" s="1567"/>
      <c r="P52" s="1567"/>
      <c r="Q52" s="1567"/>
      <c r="R52" s="1567"/>
    </row>
    <row r="53" spans="1:22" s="1740" customFormat="1">
      <c r="A53" s="1567"/>
      <c r="B53" s="1567"/>
      <c r="C53" s="1567"/>
      <c r="D53" s="1567"/>
      <c r="E53" s="1567"/>
      <c r="F53" s="1051"/>
      <c r="G53" s="1567"/>
      <c r="H53" s="1567"/>
      <c r="I53" s="1567"/>
      <c r="J53" s="2433"/>
      <c r="K53" s="2431"/>
      <c r="L53" s="2431"/>
      <c r="M53" s="2431"/>
      <c r="N53" s="1567"/>
      <c r="O53" s="1567"/>
      <c r="P53" s="1567"/>
      <c r="Q53" s="1567"/>
      <c r="R53" s="1567"/>
    </row>
    <row r="54" spans="1:22" s="1740" customFormat="1">
      <c r="A54" s="1567"/>
      <c r="B54" s="1567"/>
      <c r="C54" s="1567"/>
      <c r="D54" s="1567"/>
      <c r="E54" s="1567"/>
      <c r="F54" s="1051"/>
      <c r="G54" s="1567"/>
      <c r="H54" s="1567"/>
      <c r="I54" s="1567"/>
      <c r="J54" s="2433"/>
      <c r="K54" s="2431"/>
      <c r="L54" s="2431"/>
      <c r="M54" s="2431"/>
      <c r="N54" s="1567"/>
      <c r="O54" s="1567"/>
      <c r="P54" s="1567"/>
      <c r="Q54" s="1567"/>
      <c r="R54" s="1567"/>
    </row>
    <row r="55" spans="1:22" s="1740" customFormat="1">
      <c r="A55" s="1567"/>
      <c r="B55" s="1567"/>
      <c r="C55" s="1567"/>
      <c r="D55" s="1567"/>
      <c r="E55" s="1567"/>
      <c r="F55" s="1051"/>
      <c r="G55" s="1567"/>
      <c r="H55" s="1567"/>
      <c r="I55" s="1567"/>
      <c r="J55" s="2433"/>
      <c r="K55" s="2431"/>
      <c r="L55" s="2431"/>
      <c r="M55" s="2431"/>
      <c r="N55" s="1567"/>
      <c r="O55" s="1567"/>
      <c r="P55" s="1567"/>
      <c r="Q55" s="1567"/>
      <c r="R55" s="1567"/>
    </row>
    <row r="56" spans="1:22" s="1740" customFormat="1">
      <c r="A56" s="1567"/>
      <c r="B56" s="1567"/>
      <c r="C56" s="1567"/>
      <c r="D56" s="1567"/>
      <c r="E56" s="1567"/>
      <c r="F56" s="1051"/>
      <c r="G56" s="1567"/>
      <c r="H56" s="1567"/>
      <c r="I56" s="1567"/>
      <c r="J56" s="2433"/>
      <c r="K56" s="2431"/>
      <c r="L56" s="2431"/>
      <c r="M56" s="2431"/>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topLeftCell="A28" workbookViewId="0">
      <selection activeCell="Q44" sqref="Q44"/>
    </sheetView>
  </sheetViews>
  <sheetFormatPr defaultRowHeight="12"/>
  <cols>
    <col min="1" max="2" width="9" style="3495"/>
    <col min="3" max="3" width="10.25" style="3495" bestFit="1" customWidth="1"/>
    <col min="4" max="16384" width="9" style="3495"/>
  </cols>
  <sheetData>
    <row r="1" spans="1:15" ht="12.75">
      <c r="A1" s="3513" t="s">
        <v>3707</v>
      </c>
      <c r="B1" s="3471"/>
      <c r="C1" s="3472"/>
      <c r="D1" s="3473"/>
      <c r="E1" s="3473"/>
      <c r="F1" s="3473"/>
      <c r="G1" s="3473"/>
      <c r="H1" s="3473"/>
      <c r="I1" s="3473"/>
      <c r="J1" s="3473"/>
      <c r="K1" s="3473"/>
      <c r="L1" s="3473"/>
      <c r="M1" s="3473"/>
      <c r="N1" s="3473"/>
      <c r="O1" s="3473"/>
    </row>
    <row r="2" spans="1:15" ht="25.5">
      <c r="A2" s="3590" t="s">
        <v>3706</v>
      </c>
      <c r="B2" s="3475" t="s">
        <v>3608</v>
      </c>
      <c r="C2" s="3588" t="s">
        <v>3467</v>
      </c>
      <c r="D2" s="3589"/>
      <c r="E2" s="3589"/>
      <c r="F2" s="3589"/>
      <c r="G2" s="3589"/>
      <c r="H2" s="3589"/>
      <c r="I2" s="3589"/>
      <c r="J2" s="3589"/>
      <c r="K2" s="3589"/>
      <c r="L2" s="3589"/>
      <c r="M2" s="3589"/>
      <c r="N2" s="3589"/>
      <c r="O2" s="3589"/>
    </row>
    <row r="3" spans="1:15" ht="12.75">
      <c r="A3" s="3590"/>
      <c r="B3" s="3478"/>
      <c r="C3" s="3478" t="s">
        <v>3609</v>
      </c>
      <c r="D3" s="3479" t="s">
        <v>3610</v>
      </c>
      <c r="E3" s="3480"/>
      <c r="F3" s="3481"/>
      <c r="G3" s="3481"/>
      <c r="H3" s="3482" t="s">
        <v>3611</v>
      </c>
      <c r="I3" s="3477"/>
      <c r="J3" s="3483"/>
      <c r="K3" s="3477"/>
      <c r="L3" s="3477"/>
      <c r="M3" s="3477"/>
      <c r="N3" s="3477"/>
      <c r="O3" s="3586" t="s">
        <v>3636</v>
      </c>
    </row>
    <row r="4" spans="1:15" ht="12.75">
      <c r="A4" s="3590"/>
      <c r="B4" s="3478"/>
      <c r="C4" s="3478"/>
      <c r="D4" s="3484" t="s">
        <v>3612</v>
      </c>
      <c r="E4" s="3485" t="s">
        <v>3384</v>
      </c>
      <c r="F4" s="3486" t="s">
        <v>3385</v>
      </c>
      <c r="G4" s="3486" t="s">
        <v>3385</v>
      </c>
      <c r="H4" s="3487" t="s">
        <v>3612</v>
      </c>
      <c r="I4" s="3476" t="s">
        <v>3384</v>
      </c>
      <c r="J4" s="3486" t="s">
        <v>3385</v>
      </c>
      <c r="K4" s="3476" t="s">
        <v>3384</v>
      </c>
      <c r="L4" s="3486" t="s">
        <v>3385</v>
      </c>
      <c r="M4" s="3476" t="s">
        <v>3384</v>
      </c>
      <c r="N4" s="3497" t="s">
        <v>3385</v>
      </c>
      <c r="O4" s="3587"/>
    </row>
    <row r="5" spans="1:15" ht="12.75">
      <c r="A5" s="3590"/>
      <c r="B5" s="3478"/>
      <c r="C5" s="3478"/>
      <c r="D5" s="3478"/>
      <c r="E5" s="3488" t="s">
        <v>3480</v>
      </c>
      <c r="F5" s="3488" t="s">
        <v>3332</v>
      </c>
      <c r="G5" s="3488" t="s">
        <v>3331</v>
      </c>
      <c r="H5" s="3474"/>
      <c r="I5" s="3476" t="s">
        <v>3613</v>
      </c>
      <c r="J5" s="3476" t="s">
        <v>3613</v>
      </c>
      <c r="K5" s="3489" t="s">
        <v>3614</v>
      </c>
      <c r="L5" s="3489" t="s">
        <v>3614</v>
      </c>
      <c r="M5" s="3489" t="s">
        <v>3615</v>
      </c>
      <c r="N5" s="3476" t="s">
        <v>3615</v>
      </c>
      <c r="O5" s="3587"/>
    </row>
    <row r="6" spans="1:15" ht="12.75">
      <c r="A6" s="3591"/>
      <c r="B6" s="3490"/>
      <c r="C6" s="3478"/>
      <c r="D6" s="3484"/>
      <c r="E6" s="3489">
        <v>0</v>
      </c>
      <c r="F6" s="3491">
        <v>0</v>
      </c>
      <c r="G6" s="3491">
        <v>0</v>
      </c>
      <c r="H6" s="3474"/>
      <c r="I6" s="3476" t="s">
        <v>3616</v>
      </c>
      <c r="J6" s="3476" t="s">
        <v>3616</v>
      </c>
      <c r="K6" s="3489" t="s">
        <v>3617</v>
      </c>
      <c r="L6" s="3489" t="s">
        <v>3617</v>
      </c>
      <c r="M6" s="3489">
        <v>0</v>
      </c>
      <c r="N6" s="3476">
        <v>0</v>
      </c>
      <c r="O6" s="3587"/>
    </row>
    <row r="7" spans="1:15" ht="12.75">
      <c r="A7" s="3492" t="s">
        <v>3618</v>
      </c>
      <c r="B7" s="3493">
        <v>1945.55</v>
      </c>
      <c r="C7" s="3494">
        <f>SUM(D7,H7)</f>
        <v>5685.66</v>
      </c>
      <c r="D7" s="3494">
        <f>SUM(E7:G7)</f>
        <v>5685.66</v>
      </c>
      <c r="E7" s="3494">
        <v>4993.47</v>
      </c>
      <c r="F7" s="3494">
        <v>692.19</v>
      </c>
      <c r="G7" s="3494">
        <v>0</v>
      </c>
      <c r="H7" s="3494">
        <f>SUM(I7:N7)</f>
        <v>0</v>
      </c>
      <c r="I7" s="3494">
        <v>0</v>
      </c>
      <c r="J7" s="3494">
        <v>0</v>
      </c>
      <c r="K7" s="3494">
        <v>0</v>
      </c>
      <c r="L7" s="3494">
        <v>0</v>
      </c>
      <c r="M7" s="3494">
        <v>0</v>
      </c>
      <c r="N7" s="3494">
        <v>0</v>
      </c>
      <c r="O7" s="3494"/>
    </row>
    <row r="8" spans="1:15" ht="12.75">
      <c r="A8" s="3492" t="s">
        <v>3619</v>
      </c>
      <c r="B8" s="3493">
        <v>4206.7299999999996</v>
      </c>
      <c r="C8" s="3494">
        <f t="shared" ref="C8:C26" si="0">SUM(D8,H8)</f>
        <v>12293.699999999999</v>
      </c>
      <c r="D8" s="3494">
        <f t="shared" ref="D8:D26" si="1">SUM(E8:G8)</f>
        <v>11710.699999999999</v>
      </c>
      <c r="E8" s="3494">
        <v>9701.8799999999992</v>
      </c>
      <c r="F8" s="3494">
        <v>2008.8200000000002</v>
      </c>
      <c r="G8" s="3494">
        <v>0</v>
      </c>
      <c r="H8" s="3494">
        <f t="shared" ref="H8:H26" si="2">SUM(I8:N8)</f>
        <v>583</v>
      </c>
      <c r="I8" s="3494">
        <v>481</v>
      </c>
      <c r="J8" s="3494">
        <v>0</v>
      </c>
      <c r="K8" s="3494">
        <v>0</v>
      </c>
      <c r="L8" s="3494">
        <v>52</v>
      </c>
      <c r="M8" s="3494">
        <v>50</v>
      </c>
      <c r="N8" s="3494">
        <v>0</v>
      </c>
      <c r="O8" s="3494"/>
    </row>
    <row r="9" spans="1:15" ht="12.75">
      <c r="A9" s="3492" t="s">
        <v>3620</v>
      </c>
      <c r="B9" s="3493">
        <v>4026.27</v>
      </c>
      <c r="C9" s="3494">
        <f t="shared" si="0"/>
        <v>11766.31</v>
      </c>
      <c r="D9" s="3494">
        <f t="shared" si="1"/>
        <v>11766.31</v>
      </c>
      <c r="E9" s="3494">
        <v>9934.74</v>
      </c>
      <c r="F9" s="3494">
        <v>1831.57</v>
      </c>
      <c r="G9" s="3494">
        <v>0</v>
      </c>
      <c r="H9" s="3494">
        <f t="shared" si="2"/>
        <v>0</v>
      </c>
      <c r="I9" s="3494">
        <v>0</v>
      </c>
      <c r="J9" s="3494">
        <v>0</v>
      </c>
      <c r="K9" s="3494">
        <v>0</v>
      </c>
      <c r="L9" s="3494">
        <v>0</v>
      </c>
      <c r="M9" s="3494">
        <v>0</v>
      </c>
      <c r="N9" s="3494">
        <v>0</v>
      </c>
      <c r="O9" s="3494"/>
    </row>
    <row r="10" spans="1:15" ht="12.75">
      <c r="A10" s="3492" t="s">
        <v>3621</v>
      </c>
      <c r="B10" s="3493">
        <v>1936.58</v>
      </c>
      <c r="C10" s="3494">
        <f t="shared" si="0"/>
        <v>5659.42</v>
      </c>
      <c r="D10" s="3494">
        <f t="shared" si="1"/>
        <v>5659.42</v>
      </c>
      <c r="E10" s="3494">
        <v>4684.8599999999997</v>
      </c>
      <c r="F10" s="3494">
        <v>974.56</v>
      </c>
      <c r="G10" s="3494">
        <v>0</v>
      </c>
      <c r="H10" s="3494">
        <f t="shared" si="2"/>
        <v>0</v>
      </c>
      <c r="I10" s="3494">
        <v>0</v>
      </c>
      <c r="J10" s="3494">
        <v>0</v>
      </c>
      <c r="K10" s="3494">
        <v>0</v>
      </c>
      <c r="L10" s="3494">
        <v>0</v>
      </c>
      <c r="M10" s="3494">
        <v>0</v>
      </c>
      <c r="N10" s="3494">
        <v>0</v>
      </c>
      <c r="O10" s="3494"/>
    </row>
    <row r="11" spans="1:15" ht="12.75">
      <c r="A11" s="3492" t="s">
        <v>3622</v>
      </c>
      <c r="B11" s="3493">
        <v>2219.09</v>
      </c>
      <c r="C11" s="3494">
        <f t="shared" si="0"/>
        <v>6485.04</v>
      </c>
      <c r="D11" s="3494">
        <f t="shared" si="1"/>
        <v>6485.04</v>
      </c>
      <c r="E11" s="3494">
        <v>5473.41</v>
      </c>
      <c r="F11" s="3494">
        <v>1011.63</v>
      </c>
      <c r="G11" s="3494">
        <v>0</v>
      </c>
      <c r="H11" s="3494">
        <f t="shared" si="2"/>
        <v>0</v>
      </c>
      <c r="I11" s="3494">
        <v>0</v>
      </c>
      <c r="J11" s="3494">
        <v>0</v>
      </c>
      <c r="K11" s="3494">
        <v>0</v>
      </c>
      <c r="L11" s="3494">
        <v>0</v>
      </c>
      <c r="M11" s="3494">
        <v>0</v>
      </c>
      <c r="N11" s="3494">
        <v>0</v>
      </c>
      <c r="O11" s="3494"/>
    </row>
    <row r="12" spans="1:15" ht="12.75">
      <c r="A12" s="3492" t="s">
        <v>3623</v>
      </c>
      <c r="B12" s="3493">
        <v>2042.66</v>
      </c>
      <c r="C12" s="3494">
        <f t="shared" si="0"/>
        <v>5969.43</v>
      </c>
      <c r="D12" s="3494">
        <f t="shared" si="1"/>
        <v>5969.43</v>
      </c>
      <c r="E12" s="3494">
        <v>5244.52</v>
      </c>
      <c r="F12" s="3494">
        <v>724.91</v>
      </c>
      <c r="G12" s="3494">
        <v>0</v>
      </c>
      <c r="H12" s="3494">
        <f t="shared" si="2"/>
        <v>0</v>
      </c>
      <c r="I12" s="3494">
        <v>0</v>
      </c>
      <c r="J12" s="3494">
        <v>0</v>
      </c>
      <c r="K12" s="3494">
        <v>0</v>
      </c>
      <c r="L12" s="3494">
        <v>0</v>
      </c>
      <c r="M12" s="3494">
        <v>0</v>
      </c>
      <c r="N12" s="3494">
        <v>0</v>
      </c>
      <c r="O12" s="3494"/>
    </row>
    <row r="13" spans="1:15" ht="12.75">
      <c r="A13" s="3492" t="s">
        <v>3624</v>
      </c>
      <c r="B13" s="3493">
        <v>3920.48</v>
      </c>
      <c r="C13" s="3494">
        <f t="shared" si="0"/>
        <v>11457.16</v>
      </c>
      <c r="D13" s="3494">
        <f t="shared" si="1"/>
        <v>11447.16</v>
      </c>
      <c r="E13" s="3494">
        <v>9536.5300000000007</v>
      </c>
      <c r="F13" s="3494">
        <v>1910.63</v>
      </c>
      <c r="G13" s="3494">
        <v>0</v>
      </c>
      <c r="H13" s="3494">
        <f t="shared" si="2"/>
        <v>10</v>
      </c>
      <c r="I13" s="3494">
        <v>0</v>
      </c>
      <c r="J13" s="3494">
        <v>0</v>
      </c>
      <c r="K13" s="3494">
        <v>0</v>
      </c>
      <c r="L13" s="3494">
        <v>0</v>
      </c>
      <c r="M13" s="3494">
        <v>10</v>
      </c>
      <c r="N13" s="3494">
        <v>0</v>
      </c>
      <c r="O13" s="3494"/>
    </row>
    <row r="14" spans="1:15" ht="12.75">
      <c r="A14" s="3492" t="s">
        <v>3625</v>
      </c>
      <c r="B14" s="3493">
        <v>1937.74</v>
      </c>
      <c r="C14" s="3494">
        <f t="shared" si="0"/>
        <v>5662.81</v>
      </c>
      <c r="D14" s="3494">
        <f t="shared" si="1"/>
        <v>5662.81</v>
      </c>
      <c r="E14" s="3494">
        <v>5015.8100000000004</v>
      </c>
      <c r="F14" s="3494">
        <v>647</v>
      </c>
      <c r="G14" s="3494">
        <v>0</v>
      </c>
      <c r="H14" s="3494">
        <f t="shared" si="2"/>
        <v>0</v>
      </c>
      <c r="I14" s="3494">
        <v>0</v>
      </c>
      <c r="J14" s="3494">
        <v>0</v>
      </c>
      <c r="K14" s="3494">
        <v>0</v>
      </c>
      <c r="L14" s="3494">
        <v>0</v>
      </c>
      <c r="M14" s="3494">
        <v>0</v>
      </c>
      <c r="N14" s="3494">
        <v>0</v>
      </c>
      <c r="O14" s="3494"/>
    </row>
    <row r="15" spans="1:15" ht="12.75">
      <c r="A15" s="3492" t="s">
        <v>3626</v>
      </c>
      <c r="B15" s="3493">
        <v>2229.38</v>
      </c>
      <c r="C15" s="3494">
        <f t="shared" si="0"/>
        <v>6515.11</v>
      </c>
      <c r="D15" s="3494">
        <f t="shared" si="1"/>
        <v>6515.11</v>
      </c>
      <c r="E15" s="3494">
        <v>5473.41</v>
      </c>
      <c r="F15" s="3494">
        <v>1041.7</v>
      </c>
      <c r="G15" s="3494">
        <v>0</v>
      </c>
      <c r="H15" s="3494">
        <f t="shared" si="2"/>
        <v>0</v>
      </c>
      <c r="I15" s="3494">
        <v>0</v>
      </c>
      <c r="J15" s="3494">
        <v>0</v>
      </c>
      <c r="K15" s="3494">
        <v>0</v>
      </c>
      <c r="L15" s="3494">
        <v>0</v>
      </c>
      <c r="M15" s="3494">
        <v>0</v>
      </c>
      <c r="N15" s="3494">
        <v>0</v>
      </c>
      <c r="O15" s="3494"/>
    </row>
    <row r="16" spans="1:15" ht="12.75">
      <c r="A16" s="3492" t="s">
        <v>3627</v>
      </c>
      <c r="B16" s="3493">
        <v>2042.66</v>
      </c>
      <c r="C16" s="3494">
        <f t="shared" si="0"/>
        <v>5969.43</v>
      </c>
      <c r="D16" s="3494">
        <f t="shared" si="1"/>
        <v>5969.43</v>
      </c>
      <c r="E16" s="3494">
        <v>5244.52</v>
      </c>
      <c r="F16" s="3494">
        <v>724.91</v>
      </c>
      <c r="G16" s="3494">
        <v>0</v>
      </c>
      <c r="H16" s="3494">
        <f t="shared" si="2"/>
        <v>0</v>
      </c>
      <c r="I16" s="3494">
        <v>0</v>
      </c>
      <c r="J16" s="3494">
        <v>0</v>
      </c>
      <c r="K16" s="3494">
        <v>0</v>
      </c>
      <c r="L16" s="3494">
        <v>0</v>
      </c>
      <c r="M16" s="3494">
        <v>0</v>
      </c>
      <c r="N16" s="3494">
        <v>0</v>
      </c>
      <c r="O16" s="3494"/>
    </row>
    <row r="17" spans="1:15" ht="12.75">
      <c r="A17" s="3492" t="s">
        <v>3628</v>
      </c>
      <c r="B17" s="3493">
        <v>4261.97</v>
      </c>
      <c r="C17" s="3494">
        <f t="shared" si="0"/>
        <v>12455.11</v>
      </c>
      <c r="D17" s="3494">
        <f t="shared" si="1"/>
        <v>12455.11</v>
      </c>
      <c r="E17" s="3494">
        <v>10436.68</v>
      </c>
      <c r="F17" s="3494">
        <v>2018.43</v>
      </c>
      <c r="G17" s="3494">
        <v>0</v>
      </c>
      <c r="H17" s="3494">
        <f t="shared" si="2"/>
        <v>0</v>
      </c>
      <c r="I17" s="3494">
        <v>0</v>
      </c>
      <c r="J17" s="3494">
        <v>0</v>
      </c>
      <c r="K17" s="3494">
        <v>0</v>
      </c>
      <c r="L17" s="3494">
        <v>0</v>
      </c>
      <c r="M17" s="3494">
        <v>0</v>
      </c>
      <c r="N17" s="3494">
        <v>0</v>
      </c>
      <c r="O17" s="3494"/>
    </row>
    <row r="18" spans="1:15" ht="12.75">
      <c r="A18" s="3492" t="s">
        <v>3629</v>
      </c>
      <c r="B18" s="3493">
        <v>1954.56</v>
      </c>
      <c r="C18" s="3494">
        <f t="shared" si="0"/>
        <v>5711.9800000000005</v>
      </c>
      <c r="D18" s="3494">
        <f t="shared" si="1"/>
        <v>5711.9800000000005</v>
      </c>
      <c r="E18" s="3494">
        <v>5015.8100000000004</v>
      </c>
      <c r="F18" s="3494">
        <v>696.17</v>
      </c>
      <c r="G18" s="3494">
        <v>0</v>
      </c>
      <c r="H18" s="3494">
        <f t="shared" si="2"/>
        <v>0</v>
      </c>
      <c r="I18" s="3494">
        <v>0</v>
      </c>
      <c r="J18" s="3494">
        <v>0</v>
      </c>
      <c r="K18" s="3494">
        <v>0</v>
      </c>
      <c r="L18" s="3494">
        <v>0</v>
      </c>
      <c r="M18" s="3494">
        <v>0</v>
      </c>
      <c r="N18" s="3494">
        <v>0</v>
      </c>
      <c r="O18" s="3494"/>
    </row>
    <row r="19" spans="1:15" ht="12.75">
      <c r="A19" s="3492" t="s">
        <v>3630</v>
      </c>
      <c r="B19" s="3493">
        <v>2111.17</v>
      </c>
      <c r="C19" s="3494">
        <f t="shared" si="0"/>
        <v>6169.66</v>
      </c>
      <c r="D19" s="3494">
        <f t="shared" si="1"/>
        <v>6169.66</v>
      </c>
      <c r="E19" s="3494">
        <v>5473.41</v>
      </c>
      <c r="F19" s="3494">
        <v>696.25</v>
      </c>
      <c r="G19" s="3494">
        <v>0</v>
      </c>
      <c r="H19" s="3494">
        <f t="shared" si="2"/>
        <v>0</v>
      </c>
      <c r="I19" s="3494">
        <v>0</v>
      </c>
      <c r="J19" s="3494">
        <v>0</v>
      </c>
      <c r="K19" s="3494">
        <v>0</v>
      </c>
      <c r="L19" s="3494">
        <v>0</v>
      </c>
      <c r="M19" s="3494">
        <v>0</v>
      </c>
      <c r="N19" s="3494">
        <v>0</v>
      </c>
      <c r="O19" s="3494"/>
    </row>
    <row r="20" spans="1:15" ht="12.75">
      <c r="A20" s="3492" t="s">
        <v>3631</v>
      </c>
      <c r="B20" s="3493">
        <v>2042.66</v>
      </c>
      <c r="C20" s="3494">
        <f t="shared" si="0"/>
        <v>5969.43</v>
      </c>
      <c r="D20" s="3494">
        <f t="shared" si="1"/>
        <v>5969.43</v>
      </c>
      <c r="E20" s="3494">
        <v>5244.52</v>
      </c>
      <c r="F20" s="3494">
        <v>724.91</v>
      </c>
      <c r="G20" s="3494">
        <v>0</v>
      </c>
      <c r="H20" s="3494">
        <f t="shared" si="2"/>
        <v>0</v>
      </c>
      <c r="I20" s="3494">
        <v>0</v>
      </c>
      <c r="J20" s="3494">
        <v>0</v>
      </c>
      <c r="K20" s="3494">
        <v>0</v>
      </c>
      <c r="L20" s="3494">
        <v>0</v>
      </c>
      <c r="M20" s="3494">
        <v>0</v>
      </c>
      <c r="N20" s="3494">
        <v>0</v>
      </c>
      <c r="O20" s="3494"/>
    </row>
    <row r="21" spans="1:15" ht="12.75">
      <c r="A21" s="3492" t="s">
        <v>3632</v>
      </c>
      <c r="B21" s="3493">
        <v>1954.19</v>
      </c>
      <c r="C21" s="3494">
        <f t="shared" si="0"/>
        <v>5710.89</v>
      </c>
      <c r="D21" s="3494">
        <f t="shared" si="1"/>
        <v>5710.89</v>
      </c>
      <c r="E21" s="3494">
        <v>5015.8100000000004</v>
      </c>
      <c r="F21" s="3494">
        <v>695.08</v>
      </c>
      <c r="G21" s="3494">
        <v>0</v>
      </c>
      <c r="H21" s="3494">
        <f t="shared" si="2"/>
        <v>0</v>
      </c>
      <c r="I21" s="3494">
        <v>0</v>
      </c>
      <c r="J21" s="3494">
        <v>0</v>
      </c>
      <c r="K21" s="3494">
        <v>0</v>
      </c>
      <c r="L21" s="3494">
        <v>0</v>
      </c>
      <c r="M21" s="3494">
        <v>0</v>
      </c>
      <c r="N21" s="3494">
        <v>0</v>
      </c>
      <c r="O21" s="3494"/>
    </row>
    <row r="22" spans="1:15" ht="12.75">
      <c r="A22" s="3492" t="s">
        <v>3633</v>
      </c>
      <c r="B22" s="3493">
        <v>1954.56</v>
      </c>
      <c r="C22" s="3494">
        <f t="shared" si="0"/>
        <v>5711.9800000000005</v>
      </c>
      <c r="D22" s="3494">
        <f t="shared" si="1"/>
        <v>5711.9800000000005</v>
      </c>
      <c r="E22" s="3494">
        <v>5015.8100000000004</v>
      </c>
      <c r="F22" s="3494">
        <v>696.17</v>
      </c>
      <c r="G22" s="3494">
        <v>0</v>
      </c>
      <c r="H22" s="3494">
        <f t="shared" si="2"/>
        <v>0</v>
      </c>
      <c r="I22" s="3494">
        <v>0</v>
      </c>
      <c r="J22" s="3494">
        <v>0</v>
      </c>
      <c r="K22" s="3494">
        <v>0</v>
      </c>
      <c r="L22" s="3494">
        <v>0</v>
      </c>
      <c r="M22" s="3494">
        <v>0</v>
      </c>
      <c r="N22" s="3494">
        <v>0</v>
      </c>
      <c r="O22" s="3494"/>
    </row>
    <row r="23" spans="1:15" ht="12.75">
      <c r="A23" s="3492" t="s">
        <v>3634</v>
      </c>
      <c r="B23" s="3493">
        <v>1954.19</v>
      </c>
      <c r="C23" s="3494">
        <f t="shared" si="0"/>
        <v>5710.89</v>
      </c>
      <c r="D23" s="3494">
        <f t="shared" si="1"/>
        <v>5710.89</v>
      </c>
      <c r="E23" s="3494">
        <v>5015.8100000000004</v>
      </c>
      <c r="F23" s="3494">
        <v>695.08</v>
      </c>
      <c r="G23" s="3494">
        <v>0</v>
      </c>
      <c r="H23" s="3494">
        <f t="shared" si="2"/>
        <v>0</v>
      </c>
      <c r="I23" s="3494">
        <v>0</v>
      </c>
      <c r="J23" s="3494">
        <v>0</v>
      </c>
      <c r="K23" s="3494">
        <v>0</v>
      </c>
      <c r="L23" s="3494">
        <v>0</v>
      </c>
      <c r="M23" s="3494">
        <v>0</v>
      </c>
      <c r="N23" s="3494">
        <v>0</v>
      </c>
      <c r="O23" s="3494"/>
    </row>
    <row r="24" spans="1:15" ht="25.5">
      <c r="A24" s="3492" t="s">
        <v>3602</v>
      </c>
      <c r="B24" s="3493">
        <v>10873.08</v>
      </c>
      <c r="C24" s="3494">
        <f t="shared" si="0"/>
        <v>31775.32</v>
      </c>
      <c r="D24" s="3494">
        <f t="shared" si="1"/>
        <v>31606.720000000001</v>
      </c>
      <c r="E24" s="3494">
        <v>0</v>
      </c>
      <c r="F24" s="3494">
        <v>0</v>
      </c>
      <c r="G24" s="3494">
        <v>31606.720000000001</v>
      </c>
      <c r="H24" s="3494">
        <f t="shared" si="2"/>
        <v>168.6</v>
      </c>
      <c r="I24" s="3494">
        <v>0</v>
      </c>
      <c r="J24" s="3494">
        <v>126.6</v>
      </c>
      <c r="K24" s="3494">
        <v>0</v>
      </c>
      <c r="L24" s="3494">
        <v>0</v>
      </c>
      <c r="M24" s="3494">
        <v>42</v>
      </c>
      <c r="N24" s="3494">
        <v>0</v>
      </c>
      <c r="O24" s="3494">
        <v>11404</v>
      </c>
    </row>
    <row r="25" spans="1:15" ht="12.75">
      <c r="A25" s="3492" t="s">
        <v>3603</v>
      </c>
      <c r="B25" s="3493">
        <v>10.27</v>
      </c>
      <c r="C25" s="3494">
        <f t="shared" si="0"/>
        <v>30</v>
      </c>
      <c r="D25" s="3494">
        <f t="shared" si="1"/>
        <v>0</v>
      </c>
      <c r="E25" s="3494">
        <v>0</v>
      </c>
      <c r="F25" s="3494">
        <v>0</v>
      </c>
      <c r="G25" s="3494">
        <v>0</v>
      </c>
      <c r="H25" s="3494">
        <f t="shared" si="2"/>
        <v>30</v>
      </c>
      <c r="I25" s="3494">
        <v>0</v>
      </c>
      <c r="J25" s="3494">
        <v>0</v>
      </c>
      <c r="K25" s="3494">
        <v>0</v>
      </c>
      <c r="L25" s="3494">
        <v>0</v>
      </c>
      <c r="M25" s="3494">
        <v>30</v>
      </c>
      <c r="N25" s="3494">
        <v>0</v>
      </c>
      <c r="O25" s="3494"/>
    </row>
    <row r="26" spans="1:15" ht="25.5">
      <c r="A26" s="3492" t="s">
        <v>3604</v>
      </c>
      <c r="B26" s="3493">
        <v>5.47</v>
      </c>
      <c r="C26" s="3494">
        <f t="shared" si="0"/>
        <v>16</v>
      </c>
      <c r="D26" s="3494">
        <f t="shared" si="1"/>
        <v>0</v>
      </c>
      <c r="E26" s="3494">
        <v>0</v>
      </c>
      <c r="F26" s="3494">
        <v>0</v>
      </c>
      <c r="G26" s="3494">
        <v>0</v>
      </c>
      <c r="H26" s="3494">
        <f t="shared" si="2"/>
        <v>16</v>
      </c>
      <c r="I26" s="3494">
        <v>16</v>
      </c>
      <c r="J26" s="3494">
        <v>0</v>
      </c>
      <c r="K26" s="3494">
        <v>0</v>
      </c>
      <c r="L26" s="3494">
        <v>0</v>
      </c>
      <c r="M26" s="3494">
        <v>0</v>
      </c>
      <c r="N26" s="3494">
        <v>0</v>
      </c>
      <c r="O26" s="3494"/>
    </row>
    <row r="27" spans="1:15" ht="12.75">
      <c r="A27" s="3496" t="s">
        <v>3635</v>
      </c>
      <c r="B27" s="3493">
        <f>SUM(B7:B26)</f>
        <v>53629.260000000009</v>
      </c>
      <c r="C27" s="3493">
        <f t="shared" ref="C27:L27" si="3">SUM(C7:C26)</f>
        <v>156725.32999999999</v>
      </c>
      <c r="D27" s="3493">
        <f t="shared" si="3"/>
        <v>155917.72999999998</v>
      </c>
      <c r="E27" s="3493">
        <f t="shared" si="3"/>
        <v>106521.00000000001</v>
      </c>
      <c r="F27" s="3493">
        <f t="shared" si="3"/>
        <v>17790.010000000002</v>
      </c>
      <c r="G27" s="3493">
        <f t="shared" si="3"/>
        <v>31606.720000000001</v>
      </c>
      <c r="H27" s="3493">
        <f t="shared" si="3"/>
        <v>807.6</v>
      </c>
      <c r="I27" s="3493">
        <f t="shared" si="3"/>
        <v>497</v>
      </c>
      <c r="J27" s="3493">
        <f t="shared" si="3"/>
        <v>126.6</v>
      </c>
      <c r="K27" s="3493">
        <f t="shared" si="3"/>
        <v>0</v>
      </c>
      <c r="L27" s="3493">
        <f t="shared" si="3"/>
        <v>52</v>
      </c>
      <c r="M27" s="3493">
        <f t="shared" ref="M27" si="4">SUM(M7:M26)</f>
        <v>132</v>
      </c>
      <c r="N27" s="3493">
        <f t="shared" ref="N27" si="5">SUM(N7:N26)</f>
        <v>0</v>
      </c>
      <c r="O27" s="3493">
        <f t="shared" ref="O27" si="6">SUM(O7:O26)</f>
        <v>11404</v>
      </c>
    </row>
    <row r="28" spans="1:15" ht="12.75">
      <c r="C28" s="3494">
        <f>C27+O24</f>
        <v>168129.33</v>
      </c>
    </row>
    <row r="30" spans="1:15">
      <c r="A30" s="3495" t="s">
        <v>3708</v>
      </c>
    </row>
    <row r="31" spans="1:15" ht="25.5">
      <c r="A31" s="3590" t="s">
        <v>3706</v>
      </c>
      <c r="B31" s="3475" t="s">
        <v>3608</v>
      </c>
      <c r="C31" s="3588" t="s">
        <v>3467</v>
      </c>
      <c r="D31" s="3589"/>
      <c r="E31" s="3589"/>
      <c r="F31" s="3589"/>
      <c r="G31" s="3589"/>
      <c r="H31" s="3589"/>
      <c r="I31" s="3589"/>
      <c r="J31" s="3589"/>
      <c r="K31" s="3589"/>
      <c r="L31" s="3589"/>
      <c r="M31" s="3589"/>
      <c r="N31" s="3589"/>
      <c r="O31" s="3589"/>
    </row>
    <row r="32" spans="1:15" ht="12.75">
      <c r="A32" s="3590"/>
      <c r="B32" s="3478"/>
      <c r="C32" s="3478" t="s">
        <v>3609</v>
      </c>
      <c r="D32" s="3479" t="s">
        <v>3610</v>
      </c>
      <c r="E32" s="3480"/>
      <c r="F32" s="3481"/>
      <c r="G32" s="3481"/>
      <c r="H32" s="3482" t="s">
        <v>3611</v>
      </c>
      <c r="I32" s="3512"/>
      <c r="J32" s="3483"/>
      <c r="K32" s="3512"/>
      <c r="L32" s="3512"/>
      <c r="M32" s="3512"/>
      <c r="N32" s="3512"/>
      <c r="O32" s="3586" t="s">
        <v>3636</v>
      </c>
    </row>
    <row r="33" spans="1:15" ht="12.75">
      <c r="A33" s="3590"/>
      <c r="B33" s="3478"/>
      <c r="C33" s="3478"/>
      <c r="D33" s="3484" t="s">
        <v>3612</v>
      </c>
      <c r="E33" s="3485" t="s">
        <v>3384</v>
      </c>
      <c r="F33" s="3486" t="s">
        <v>3385</v>
      </c>
      <c r="G33" s="3486" t="s">
        <v>3385</v>
      </c>
      <c r="H33" s="3487" t="s">
        <v>3612</v>
      </c>
      <c r="I33" s="3511" t="s">
        <v>3384</v>
      </c>
      <c r="J33" s="3486" t="s">
        <v>3385</v>
      </c>
      <c r="K33" s="3511" t="s">
        <v>3384</v>
      </c>
      <c r="L33" s="3486" t="s">
        <v>3385</v>
      </c>
      <c r="M33" s="3511" t="s">
        <v>3384</v>
      </c>
      <c r="N33" s="3497" t="s">
        <v>3385</v>
      </c>
      <c r="O33" s="3587"/>
    </row>
    <row r="34" spans="1:15" ht="12.75">
      <c r="A34" s="3590"/>
      <c r="B34" s="3478"/>
      <c r="C34" s="3478"/>
      <c r="D34" s="3478"/>
      <c r="E34" s="3488" t="s">
        <v>3480</v>
      </c>
      <c r="F34" s="3488" t="s">
        <v>3332</v>
      </c>
      <c r="G34" s="3488" t="s">
        <v>3331</v>
      </c>
      <c r="H34" s="3474"/>
      <c r="I34" s="3511" t="s">
        <v>3613</v>
      </c>
      <c r="J34" s="3511" t="s">
        <v>3613</v>
      </c>
      <c r="K34" s="3510" t="s">
        <v>3614</v>
      </c>
      <c r="L34" s="3510" t="s">
        <v>3614</v>
      </c>
      <c r="M34" s="3510" t="s">
        <v>3615</v>
      </c>
      <c r="N34" s="3511" t="s">
        <v>3615</v>
      </c>
      <c r="O34" s="3587"/>
    </row>
    <row r="35" spans="1:15" ht="12.75">
      <c r="A35" s="3591"/>
      <c r="B35" s="3490"/>
      <c r="C35" s="3478"/>
      <c r="D35" s="3484"/>
      <c r="E35" s="3510">
        <v>0</v>
      </c>
      <c r="F35" s="3491">
        <v>0</v>
      </c>
      <c r="G35" s="3491">
        <v>0</v>
      </c>
      <c r="H35" s="3474"/>
      <c r="I35" s="3511" t="s">
        <v>3616</v>
      </c>
      <c r="J35" s="3511" t="s">
        <v>3616</v>
      </c>
      <c r="K35" s="3510" t="s">
        <v>3617</v>
      </c>
      <c r="L35" s="3510" t="s">
        <v>3617</v>
      </c>
      <c r="M35" s="3510">
        <v>0</v>
      </c>
      <c r="N35" s="3511">
        <v>0</v>
      </c>
      <c r="O35" s="3587"/>
    </row>
    <row r="36" spans="1:15" ht="12.75">
      <c r="A36" s="3492" t="s">
        <v>3618</v>
      </c>
      <c r="B36" s="3493">
        <v>1945.55</v>
      </c>
      <c r="C36" s="3494">
        <f>SUM(D36,H36)</f>
        <v>5487.21</v>
      </c>
      <c r="D36" s="3494">
        <f>SUM(E36:G36)</f>
        <v>5187.57</v>
      </c>
      <c r="E36" s="3494">
        <v>5040.2299999999996</v>
      </c>
      <c r="F36" s="3494">
        <v>147.34</v>
      </c>
      <c r="G36" s="3494">
        <v>0</v>
      </c>
      <c r="H36" s="3494">
        <f>SUM(I36:N36)</f>
        <v>299.64</v>
      </c>
      <c r="I36" s="3494">
        <v>0</v>
      </c>
      <c r="J36" s="3494">
        <v>299.64</v>
      </c>
      <c r="K36" s="3494">
        <v>0</v>
      </c>
      <c r="L36" s="3494">
        <v>0</v>
      </c>
      <c r="M36" s="3494">
        <v>0</v>
      </c>
      <c r="N36" s="3494">
        <v>0</v>
      </c>
      <c r="O36" s="3494"/>
    </row>
    <row r="37" spans="1:15" ht="12.75">
      <c r="A37" s="3492" t="s">
        <v>3619</v>
      </c>
      <c r="B37" s="3493">
        <v>4206.7299999999996</v>
      </c>
      <c r="C37" s="3494">
        <f t="shared" ref="C37:C53" si="7">SUM(D37,H37)</f>
        <v>11710.88</v>
      </c>
      <c r="D37" s="3494">
        <f t="shared" ref="D37:D53" si="8">SUM(E37:G37)</f>
        <v>11152.06</v>
      </c>
      <c r="E37" s="3494">
        <v>9712.83</v>
      </c>
      <c r="F37" s="3494">
        <v>1439.23</v>
      </c>
      <c r="G37" s="3494">
        <v>0</v>
      </c>
      <c r="H37" s="3494">
        <f t="shared" ref="H37:H53" si="9">SUM(I37:N37)</f>
        <v>558.82000000000005</v>
      </c>
      <c r="I37" s="3494">
        <v>0</v>
      </c>
      <c r="J37" s="3494">
        <f>355.23+32.56</f>
        <v>387.79</v>
      </c>
      <c r="K37" s="3494">
        <v>0</v>
      </c>
      <c r="L37" s="3494">
        <v>171.03</v>
      </c>
      <c r="M37" s="3494">
        <v>0</v>
      </c>
      <c r="N37" s="3494">
        <v>0</v>
      </c>
      <c r="O37" s="3494"/>
    </row>
    <row r="38" spans="1:15" ht="12.75">
      <c r="A38" s="3492" t="s">
        <v>3620</v>
      </c>
      <c r="B38" s="3493">
        <v>4026.27</v>
      </c>
      <c r="C38" s="3494">
        <f t="shared" si="7"/>
        <v>11486</v>
      </c>
      <c r="D38" s="3494">
        <f t="shared" si="8"/>
        <v>11486</v>
      </c>
      <c r="E38" s="3494">
        <v>9974.26</v>
      </c>
      <c r="F38" s="3494">
        <v>1511.74</v>
      </c>
      <c r="G38" s="3494">
        <v>0</v>
      </c>
      <c r="H38" s="3494">
        <f t="shared" si="9"/>
        <v>0</v>
      </c>
      <c r="I38" s="3494">
        <v>0</v>
      </c>
      <c r="J38" s="3494">
        <v>0</v>
      </c>
      <c r="K38" s="3494">
        <v>0</v>
      </c>
      <c r="L38" s="3494">
        <v>0</v>
      </c>
      <c r="M38" s="3494">
        <v>0</v>
      </c>
      <c r="N38" s="3494">
        <v>0</v>
      </c>
      <c r="O38" s="3494"/>
    </row>
    <row r="39" spans="1:15" ht="12.75">
      <c r="A39" s="3492" t="s">
        <v>3621</v>
      </c>
      <c r="B39" s="3493">
        <v>1936.58</v>
      </c>
      <c r="C39" s="3494">
        <f t="shared" si="7"/>
        <v>5440.2800000000007</v>
      </c>
      <c r="D39" s="3494">
        <f t="shared" si="8"/>
        <v>5440.2800000000007</v>
      </c>
      <c r="E39" s="3494">
        <v>4719.5600000000004</v>
      </c>
      <c r="F39" s="3494">
        <v>720.72</v>
      </c>
      <c r="G39" s="3494">
        <v>0</v>
      </c>
      <c r="H39" s="3494">
        <f t="shared" si="9"/>
        <v>0</v>
      </c>
      <c r="I39" s="3494">
        <v>0</v>
      </c>
      <c r="J39" s="3494">
        <v>0</v>
      </c>
      <c r="K39" s="3494">
        <v>0</v>
      </c>
      <c r="L39" s="3494">
        <v>0</v>
      </c>
      <c r="M39" s="3494">
        <v>0</v>
      </c>
      <c r="N39" s="3494">
        <v>0</v>
      </c>
      <c r="O39" s="3494"/>
    </row>
    <row r="40" spans="1:15" ht="12.75">
      <c r="A40" s="3492" t="s">
        <v>3622</v>
      </c>
      <c r="B40" s="3493">
        <v>2219.09</v>
      </c>
      <c r="C40" s="3494">
        <f t="shared" si="7"/>
        <v>6247.45</v>
      </c>
      <c r="D40" s="3494">
        <f t="shared" si="8"/>
        <v>6247.45</v>
      </c>
      <c r="E40" s="3494">
        <v>5508.21</v>
      </c>
      <c r="F40" s="3494">
        <v>739.24</v>
      </c>
      <c r="G40" s="3494">
        <v>0</v>
      </c>
      <c r="H40" s="3494">
        <f t="shared" si="9"/>
        <v>0</v>
      </c>
      <c r="I40" s="3494">
        <v>0</v>
      </c>
      <c r="J40" s="3494">
        <v>0</v>
      </c>
      <c r="K40" s="3494">
        <v>0</v>
      </c>
      <c r="L40" s="3494">
        <v>0</v>
      </c>
      <c r="M40" s="3494">
        <v>0</v>
      </c>
      <c r="N40" s="3494">
        <v>0</v>
      </c>
      <c r="O40" s="3494"/>
    </row>
    <row r="41" spans="1:15" ht="12.75">
      <c r="A41" s="3492" t="s">
        <v>3623</v>
      </c>
      <c r="B41" s="3493">
        <v>2042.66</v>
      </c>
      <c r="C41" s="3494">
        <f t="shared" si="7"/>
        <v>5759.2899999999991</v>
      </c>
      <c r="D41" s="3494">
        <f t="shared" si="8"/>
        <v>5427.6399999999994</v>
      </c>
      <c r="E41" s="3494">
        <v>5284.11</v>
      </c>
      <c r="F41" s="3494">
        <v>143.53</v>
      </c>
      <c r="G41" s="3494">
        <v>0</v>
      </c>
      <c r="H41" s="3494">
        <f t="shared" si="9"/>
        <v>331.65</v>
      </c>
      <c r="I41" s="3494">
        <v>0</v>
      </c>
      <c r="J41" s="3494">
        <v>331.65</v>
      </c>
      <c r="K41" s="3494">
        <v>0</v>
      </c>
      <c r="L41" s="3494">
        <v>0</v>
      </c>
      <c r="M41" s="3494">
        <v>0</v>
      </c>
      <c r="N41" s="3494">
        <v>0</v>
      </c>
      <c r="O41" s="3494"/>
    </row>
    <row r="42" spans="1:15" ht="12.75">
      <c r="A42" s="3492" t="s">
        <v>3624</v>
      </c>
      <c r="B42" s="3493">
        <v>3920.48</v>
      </c>
      <c r="C42" s="3494">
        <f t="shared" si="7"/>
        <v>10872.1</v>
      </c>
      <c r="D42" s="3494">
        <f t="shared" si="8"/>
        <v>10306.25</v>
      </c>
      <c r="E42" s="3494">
        <v>9566.74</v>
      </c>
      <c r="F42" s="3494">
        <v>739.51</v>
      </c>
      <c r="G42" s="3494">
        <v>0</v>
      </c>
      <c r="H42" s="3494">
        <f t="shared" si="9"/>
        <v>565.85</v>
      </c>
      <c r="I42" s="3494">
        <v>0</v>
      </c>
      <c r="J42" s="3494">
        <v>565.85</v>
      </c>
      <c r="K42" s="3494">
        <v>0</v>
      </c>
      <c r="L42" s="3494">
        <v>0</v>
      </c>
      <c r="M42" s="3494">
        <v>0</v>
      </c>
      <c r="N42" s="3494">
        <v>0</v>
      </c>
      <c r="O42" s="3494"/>
    </row>
    <row r="43" spans="1:15" ht="12.75">
      <c r="A43" s="3492" t="s">
        <v>3625</v>
      </c>
      <c r="B43" s="3493">
        <v>1937.74</v>
      </c>
      <c r="C43" s="3494">
        <f t="shared" si="7"/>
        <v>5340.38</v>
      </c>
      <c r="D43" s="3494">
        <f t="shared" si="8"/>
        <v>5340.38</v>
      </c>
      <c r="E43" s="3494">
        <v>5052.82</v>
      </c>
      <c r="F43" s="3494">
        <v>287.56</v>
      </c>
      <c r="G43" s="3494">
        <v>0</v>
      </c>
      <c r="H43" s="3494">
        <f t="shared" si="9"/>
        <v>0</v>
      </c>
      <c r="I43" s="3494">
        <v>0</v>
      </c>
      <c r="J43" s="3494">
        <v>0</v>
      </c>
      <c r="K43" s="3494">
        <v>0</v>
      </c>
      <c r="L43" s="3494">
        <v>0</v>
      </c>
      <c r="M43" s="3494">
        <v>0</v>
      </c>
      <c r="N43" s="3494">
        <v>0</v>
      </c>
      <c r="O43" s="3494"/>
    </row>
    <row r="44" spans="1:15" ht="12.75">
      <c r="A44" s="3492" t="s">
        <v>3626</v>
      </c>
      <c r="B44" s="3493">
        <v>2229.38</v>
      </c>
      <c r="C44" s="3494">
        <f t="shared" si="7"/>
        <v>6341.62</v>
      </c>
      <c r="D44" s="3494">
        <f t="shared" si="8"/>
        <v>6341.62</v>
      </c>
      <c r="E44" s="3494">
        <v>5507.73</v>
      </c>
      <c r="F44" s="3494">
        <v>833.89</v>
      </c>
      <c r="G44" s="3494">
        <v>0</v>
      </c>
      <c r="H44" s="3494">
        <f t="shared" si="9"/>
        <v>0</v>
      </c>
      <c r="I44" s="3494">
        <v>0</v>
      </c>
      <c r="J44" s="3494">
        <v>0</v>
      </c>
      <c r="K44" s="3494">
        <v>0</v>
      </c>
      <c r="L44" s="3494">
        <v>0</v>
      </c>
      <c r="M44" s="3494">
        <v>0</v>
      </c>
      <c r="N44" s="3494">
        <v>0</v>
      </c>
      <c r="O44" s="3494"/>
    </row>
    <row r="45" spans="1:15" ht="12.75">
      <c r="A45" s="3492" t="s">
        <v>3627</v>
      </c>
      <c r="B45" s="3493">
        <v>2042.66</v>
      </c>
      <c r="C45" s="3494">
        <f t="shared" si="7"/>
        <v>5758.67</v>
      </c>
      <c r="D45" s="3494">
        <f t="shared" si="8"/>
        <v>5427.45</v>
      </c>
      <c r="E45" s="3494">
        <v>5284.11</v>
      </c>
      <c r="F45" s="3494">
        <v>143.34</v>
      </c>
      <c r="G45" s="3494">
        <v>0</v>
      </c>
      <c r="H45" s="3494">
        <f t="shared" si="9"/>
        <v>331.22</v>
      </c>
      <c r="I45" s="3494">
        <v>0</v>
      </c>
      <c r="J45" s="3494">
        <v>331.22</v>
      </c>
      <c r="K45" s="3494">
        <v>0</v>
      </c>
      <c r="L45" s="3494">
        <v>0</v>
      </c>
      <c r="M45" s="3494">
        <v>0</v>
      </c>
      <c r="N45" s="3494">
        <v>0</v>
      </c>
      <c r="O45" s="3494"/>
    </row>
    <row r="46" spans="1:15" ht="12.75">
      <c r="A46" s="3492" t="s">
        <v>3628</v>
      </c>
      <c r="B46" s="3493">
        <v>4261.97</v>
      </c>
      <c r="C46" s="3494">
        <f t="shared" si="7"/>
        <v>11863.51</v>
      </c>
      <c r="D46" s="3494">
        <f t="shared" si="8"/>
        <v>11217.460000000001</v>
      </c>
      <c r="E46" s="3494">
        <v>10471.44</v>
      </c>
      <c r="F46" s="3494">
        <v>746.02</v>
      </c>
      <c r="G46" s="3494">
        <v>0</v>
      </c>
      <c r="H46" s="3494">
        <f t="shared" si="9"/>
        <v>646.04999999999995</v>
      </c>
      <c r="I46" s="3494">
        <v>0</v>
      </c>
      <c r="J46" s="3494">
        <v>646.04999999999995</v>
      </c>
      <c r="K46" s="3494">
        <v>0</v>
      </c>
      <c r="L46" s="3494">
        <v>0</v>
      </c>
      <c r="M46" s="3494">
        <v>0</v>
      </c>
      <c r="N46" s="3494">
        <v>0</v>
      </c>
      <c r="O46" s="3494"/>
    </row>
    <row r="47" spans="1:15" ht="12.75">
      <c r="A47" s="3492" t="s">
        <v>3629</v>
      </c>
      <c r="B47" s="3493">
        <v>1954.56</v>
      </c>
      <c r="C47" s="3494">
        <f t="shared" si="7"/>
        <v>5496.31</v>
      </c>
      <c r="D47" s="3494">
        <f t="shared" si="8"/>
        <v>5177.76</v>
      </c>
      <c r="E47" s="3494">
        <v>5052.67</v>
      </c>
      <c r="F47" s="3494">
        <v>125.09</v>
      </c>
      <c r="G47" s="3494">
        <v>0</v>
      </c>
      <c r="H47" s="3494">
        <f t="shared" si="9"/>
        <v>318.55</v>
      </c>
      <c r="I47" s="3494">
        <v>0</v>
      </c>
      <c r="J47" s="3494">
        <v>318.55</v>
      </c>
      <c r="K47" s="3494">
        <v>0</v>
      </c>
      <c r="L47" s="3494">
        <v>0</v>
      </c>
      <c r="M47" s="3494">
        <v>0</v>
      </c>
      <c r="N47" s="3494">
        <v>0</v>
      </c>
      <c r="O47" s="3494"/>
    </row>
    <row r="48" spans="1:15" ht="12.75">
      <c r="A48" s="3492" t="s">
        <v>3630</v>
      </c>
      <c r="B48" s="3493">
        <v>2111.17</v>
      </c>
      <c r="C48" s="3494">
        <f t="shared" si="7"/>
        <v>6012.49</v>
      </c>
      <c r="D48" s="3494">
        <f t="shared" si="8"/>
        <v>6012.49</v>
      </c>
      <c r="E48" s="3494">
        <v>5510.07</v>
      </c>
      <c r="F48" s="3494">
        <v>502.42</v>
      </c>
      <c r="G48" s="3494">
        <v>0</v>
      </c>
      <c r="H48" s="3494">
        <f t="shared" si="9"/>
        <v>0</v>
      </c>
      <c r="I48" s="3494">
        <v>0</v>
      </c>
      <c r="J48" s="3494">
        <v>0</v>
      </c>
      <c r="K48" s="3494">
        <v>0</v>
      </c>
      <c r="L48" s="3494">
        <v>0</v>
      </c>
      <c r="M48" s="3494">
        <v>0</v>
      </c>
      <c r="N48" s="3494">
        <v>0</v>
      </c>
      <c r="O48" s="3494"/>
    </row>
    <row r="49" spans="1:15" ht="12.75">
      <c r="A49" s="3492" t="s">
        <v>3631</v>
      </c>
      <c r="B49" s="3493">
        <v>2042.66</v>
      </c>
      <c r="C49" s="3494">
        <f t="shared" si="7"/>
        <v>5758</v>
      </c>
      <c r="D49" s="3494">
        <f t="shared" si="8"/>
        <v>5427.25</v>
      </c>
      <c r="E49" s="3494">
        <v>5284.11</v>
      </c>
      <c r="F49" s="3494">
        <v>143.13999999999999</v>
      </c>
      <c r="G49" s="3494">
        <v>0</v>
      </c>
      <c r="H49" s="3494">
        <f t="shared" si="9"/>
        <v>330.75</v>
      </c>
      <c r="I49" s="3494">
        <v>0</v>
      </c>
      <c r="J49" s="3494">
        <v>330.75</v>
      </c>
      <c r="K49" s="3494">
        <v>0</v>
      </c>
      <c r="L49" s="3494">
        <v>0</v>
      </c>
      <c r="M49" s="3494">
        <v>0</v>
      </c>
      <c r="N49" s="3494">
        <v>0</v>
      </c>
      <c r="O49" s="3494"/>
    </row>
    <row r="50" spans="1:15" ht="12.75">
      <c r="A50" s="3492" t="s">
        <v>3632</v>
      </c>
      <c r="B50" s="3493">
        <v>1954.19</v>
      </c>
      <c r="C50" s="3494">
        <f t="shared" si="7"/>
        <v>5507.5400000000009</v>
      </c>
      <c r="D50" s="3494">
        <f t="shared" si="8"/>
        <v>5190.9900000000007</v>
      </c>
      <c r="E50" s="3494">
        <v>5051.6400000000003</v>
      </c>
      <c r="F50" s="3494">
        <v>139.35</v>
      </c>
      <c r="G50" s="3494">
        <v>0</v>
      </c>
      <c r="H50" s="3494">
        <f t="shared" si="9"/>
        <v>316.55</v>
      </c>
      <c r="I50" s="3494">
        <v>0</v>
      </c>
      <c r="J50" s="3494">
        <v>316.55</v>
      </c>
      <c r="K50" s="3494">
        <v>0</v>
      </c>
      <c r="L50" s="3494">
        <v>0</v>
      </c>
      <c r="M50" s="3494">
        <v>0</v>
      </c>
      <c r="N50" s="3494">
        <v>0</v>
      </c>
      <c r="O50" s="3494"/>
    </row>
    <row r="51" spans="1:15" ht="12.75">
      <c r="A51" s="3492" t="s">
        <v>3633</v>
      </c>
      <c r="B51" s="3493">
        <v>1954.56</v>
      </c>
      <c r="C51" s="3494">
        <f t="shared" si="7"/>
        <v>5504.26</v>
      </c>
      <c r="D51" s="3494">
        <f t="shared" si="8"/>
        <v>5189.8</v>
      </c>
      <c r="E51" s="3494">
        <v>5052.25</v>
      </c>
      <c r="F51" s="3494">
        <v>137.55000000000001</v>
      </c>
      <c r="G51" s="3494">
        <v>0</v>
      </c>
      <c r="H51" s="3494">
        <f t="shared" si="9"/>
        <v>314.45999999999998</v>
      </c>
      <c r="I51" s="3494">
        <v>0</v>
      </c>
      <c r="J51" s="3494">
        <v>314.45999999999998</v>
      </c>
      <c r="K51" s="3494">
        <v>0</v>
      </c>
      <c r="L51" s="3494">
        <v>0</v>
      </c>
      <c r="M51" s="3494">
        <v>0</v>
      </c>
      <c r="N51" s="3494">
        <v>0</v>
      </c>
      <c r="O51" s="3494"/>
    </row>
    <row r="52" spans="1:15" ht="12.75">
      <c r="A52" s="3492" t="s">
        <v>3634</v>
      </c>
      <c r="B52" s="3493">
        <v>1954.19</v>
      </c>
      <c r="C52" s="3494">
        <f t="shared" si="7"/>
        <v>5504.4100000000008</v>
      </c>
      <c r="D52" s="3494">
        <f t="shared" si="8"/>
        <v>5186.9400000000005</v>
      </c>
      <c r="E52" s="3494">
        <v>5047.1400000000003</v>
      </c>
      <c r="F52" s="3494">
        <v>139.80000000000001</v>
      </c>
      <c r="G52" s="3494">
        <v>0</v>
      </c>
      <c r="H52" s="3494">
        <f t="shared" si="9"/>
        <v>317.47000000000003</v>
      </c>
      <c r="I52" s="3494">
        <v>0</v>
      </c>
      <c r="J52" s="3494">
        <v>317.47000000000003</v>
      </c>
      <c r="K52" s="3494">
        <v>0</v>
      </c>
      <c r="L52" s="3494">
        <v>0</v>
      </c>
      <c r="M52" s="3494">
        <v>0</v>
      </c>
      <c r="N52" s="3494">
        <v>0</v>
      </c>
      <c r="O52" s="3494"/>
    </row>
    <row r="53" spans="1:15" ht="25.5">
      <c r="A53" s="3492" t="s">
        <v>3602</v>
      </c>
      <c r="B53" s="3493">
        <v>10873.08</v>
      </c>
      <c r="C53" s="3494">
        <f t="shared" si="7"/>
        <v>35178.1</v>
      </c>
      <c r="D53" s="3494">
        <f t="shared" si="8"/>
        <v>33430.07</v>
      </c>
      <c r="E53" s="3494">
        <v>0</v>
      </c>
      <c r="F53" s="3494">
        <v>0</v>
      </c>
      <c r="G53" s="3494">
        <v>33430.07</v>
      </c>
      <c r="H53" s="3494">
        <f t="shared" si="9"/>
        <v>1748.0300000000002</v>
      </c>
      <c r="I53" s="3494">
        <v>0</v>
      </c>
      <c r="J53" s="3494">
        <f>146.41</f>
        <v>146.41</v>
      </c>
      <c r="K53" s="3494">
        <v>0</v>
      </c>
      <c r="L53" s="3494">
        <v>0</v>
      </c>
      <c r="M53" s="3494">
        <v>0</v>
      </c>
      <c r="N53" s="3494">
        <f>53.59+14.34+578.31+874.08+27.87+18.45+34.98</f>
        <v>1601.6200000000001</v>
      </c>
      <c r="O53" s="3494">
        <v>0</v>
      </c>
    </row>
    <row r="54" spans="1:15" ht="12.75">
      <c r="A54" s="3496" t="s">
        <v>3635</v>
      </c>
      <c r="B54" s="3493">
        <f t="shared" ref="B54:O54" si="10">SUM(B36:B53)</f>
        <v>53613.520000000011</v>
      </c>
      <c r="C54" s="3493">
        <f t="shared" si="10"/>
        <v>155268.49999999997</v>
      </c>
      <c r="D54" s="3493">
        <f t="shared" si="10"/>
        <v>149189.46</v>
      </c>
      <c r="E54" s="3493">
        <f t="shared" si="10"/>
        <v>107119.92</v>
      </c>
      <c r="F54" s="3493">
        <f t="shared" si="10"/>
        <v>8639.4699999999993</v>
      </c>
      <c r="G54" s="3493">
        <f t="shared" si="10"/>
        <v>33430.07</v>
      </c>
      <c r="H54" s="3493">
        <f t="shared" si="10"/>
        <v>6079.0400000000009</v>
      </c>
      <c r="I54" s="3493">
        <f t="shared" si="10"/>
        <v>0</v>
      </c>
      <c r="J54" s="3493">
        <f t="shared" si="10"/>
        <v>4306.3900000000003</v>
      </c>
      <c r="K54" s="3493">
        <f t="shared" si="10"/>
        <v>0</v>
      </c>
      <c r="L54" s="3493">
        <f t="shared" si="10"/>
        <v>171.03</v>
      </c>
      <c r="M54" s="3493">
        <f t="shared" si="10"/>
        <v>0</v>
      </c>
      <c r="N54" s="3493">
        <f t="shared" si="10"/>
        <v>1601.6200000000001</v>
      </c>
      <c r="O54" s="3493">
        <f t="shared" si="10"/>
        <v>0</v>
      </c>
    </row>
  </sheetData>
  <mergeCells count="6">
    <mergeCell ref="O3:O6"/>
    <mergeCell ref="C2:O2"/>
    <mergeCell ref="A2:A6"/>
    <mergeCell ref="A31:A35"/>
    <mergeCell ref="C31:O31"/>
    <mergeCell ref="O32:O35"/>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8" t="s">
        <v>1067</v>
      </c>
      <c r="AZ2" s="1049"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53629.25</v>
      </c>
      <c r="B3" s="11">
        <f>IF(C3="否",G5-AT5,G5)</f>
        <v>155268.5</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50"/>
      <c r="AZ3" s="1051"/>
      <c r="BA3" s="1052"/>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155268.5</v>
      </c>
      <c r="H5" s="13">
        <f t="shared" ref="H5:AT5" si="0">SUM(H13:H656)</f>
        <v>149189.46</v>
      </c>
      <c r="I5" s="13">
        <f t="shared" si="0"/>
        <v>107119.92</v>
      </c>
      <c r="J5" s="13">
        <f t="shared" si="0"/>
        <v>0</v>
      </c>
      <c r="K5" s="13">
        <f t="shared" si="0"/>
        <v>8639.4699999999993</v>
      </c>
      <c r="L5" s="13">
        <f t="shared" si="0"/>
        <v>0</v>
      </c>
      <c r="M5" s="13">
        <f t="shared" si="0"/>
        <v>33430.07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6079.04</v>
      </c>
      <c r="AD5" s="13">
        <f t="shared" si="0"/>
        <v>0</v>
      </c>
      <c r="AE5" s="13">
        <f t="shared" si="0"/>
        <v>0</v>
      </c>
      <c r="AF5" s="13">
        <f t="shared" si="0"/>
        <v>4306.3900000000003</v>
      </c>
      <c r="AG5" s="13">
        <f t="shared" si="0"/>
        <v>0</v>
      </c>
      <c r="AH5" s="13">
        <f t="shared" si="0"/>
        <v>0</v>
      </c>
      <c r="AI5" s="13">
        <f t="shared" si="0"/>
        <v>0</v>
      </c>
      <c r="AJ5" s="13">
        <f t="shared" si="0"/>
        <v>171.03</v>
      </c>
      <c r="AK5" s="13">
        <f t="shared" si="0"/>
        <v>0</v>
      </c>
      <c r="AL5" s="13">
        <f t="shared" si="0"/>
        <v>0</v>
      </c>
      <c r="AM5" s="13">
        <f t="shared" si="0"/>
        <v>0</v>
      </c>
      <c r="AN5" s="13">
        <f t="shared" si="0"/>
        <v>1601.6200000000001</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155268.5</v>
      </c>
      <c r="BA5" s="15">
        <f t="shared" si="1"/>
        <v>149189.46</v>
      </c>
      <c r="BB5" s="15">
        <f t="shared" si="1"/>
        <v>107119.92</v>
      </c>
      <c r="BC5" s="15">
        <f t="shared" si="1"/>
        <v>8639.4699999999993</v>
      </c>
      <c r="BD5" s="15">
        <f t="shared" si="1"/>
        <v>33430.07</v>
      </c>
      <c r="BE5" s="15">
        <f t="shared" si="1"/>
        <v>0</v>
      </c>
      <c r="BF5" s="15">
        <f t="shared" si="1"/>
        <v>0</v>
      </c>
      <c r="BG5" s="15">
        <f t="shared" si="1"/>
        <v>0</v>
      </c>
      <c r="BH5" s="15">
        <f t="shared" si="1"/>
        <v>0</v>
      </c>
      <c r="BI5" s="15">
        <f t="shared" si="1"/>
        <v>0</v>
      </c>
      <c r="BJ5" s="15">
        <f t="shared" si="1"/>
        <v>0</v>
      </c>
      <c r="BK5" s="15">
        <f t="shared" si="1"/>
        <v>0</v>
      </c>
      <c r="BL5" s="15">
        <f t="shared" si="1"/>
        <v>6079.04</v>
      </c>
      <c r="BM5" s="15">
        <f t="shared" si="1"/>
        <v>0</v>
      </c>
      <c r="BN5" s="15">
        <f t="shared" si="1"/>
        <v>4306.3900000000003</v>
      </c>
      <c r="BO5" s="15">
        <f t="shared" si="1"/>
        <v>0</v>
      </c>
      <c r="BP5" s="15">
        <f t="shared" si="1"/>
        <v>171.03</v>
      </c>
      <c r="BQ5" s="15">
        <f t="shared" si="1"/>
        <v>0</v>
      </c>
      <c r="BR5" s="15">
        <f t="shared" si="1"/>
        <v>1601.6200000000001</v>
      </c>
      <c r="BS5" s="15">
        <f t="shared" si="1"/>
        <v>0</v>
      </c>
      <c r="BT5" s="16">
        <f t="shared" si="1"/>
        <v>0</v>
      </c>
    </row>
    <row r="6" spans="1:72" s="1586" customFormat="1" ht="12.75">
      <c r="A6" s="12" t="s">
        <v>1072</v>
      </c>
      <c r="B6" s="1583"/>
      <c r="C6" s="1583"/>
      <c r="D6" s="1584"/>
      <c r="E6" s="13">
        <f>H6+AC6+AT6</f>
        <v>53629.24</v>
      </c>
      <c r="F6" s="13" t="s">
        <v>0</v>
      </c>
      <c r="G6" s="13" t="s">
        <v>1</v>
      </c>
      <c r="H6" s="17">
        <f>SUMIF(I$12:AB$12,"总值",I6:AB6)</f>
        <v>51529.57</v>
      </c>
      <c r="I6" s="13">
        <f t="shared" ref="I6:AB6" si="2">ROUND($A$3*I5/$B$3,2)</f>
        <v>36998.879999999997</v>
      </c>
      <c r="J6" s="13">
        <f t="shared" si="2"/>
        <v>0</v>
      </c>
      <c r="K6" s="13">
        <f t="shared" si="2"/>
        <v>2984.05</v>
      </c>
      <c r="L6" s="13">
        <f t="shared" si="2"/>
        <v>0</v>
      </c>
      <c r="M6" s="13">
        <f t="shared" si="2"/>
        <v>11546.64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2099.67</v>
      </c>
      <c r="AD6" s="13">
        <f t="shared" ref="AD6:AS6" si="3">ROUND($A$3*AD5/$B$3,2)</f>
        <v>0</v>
      </c>
      <c r="AE6" s="13">
        <f t="shared" si="3"/>
        <v>0</v>
      </c>
      <c r="AF6" s="13">
        <f t="shared" si="3"/>
        <v>1487.41</v>
      </c>
      <c r="AG6" s="13">
        <f t="shared" si="3"/>
        <v>0</v>
      </c>
      <c r="AH6" s="13">
        <f t="shared" si="3"/>
        <v>0</v>
      </c>
      <c r="AI6" s="13">
        <f t="shared" si="3"/>
        <v>0</v>
      </c>
      <c r="AJ6" s="13">
        <f t="shared" si="3"/>
        <v>59.07</v>
      </c>
      <c r="AK6" s="13">
        <f t="shared" si="3"/>
        <v>0</v>
      </c>
      <c r="AL6" s="13">
        <f t="shared" si="3"/>
        <v>0</v>
      </c>
      <c r="AM6" s="13">
        <f t="shared" si="3"/>
        <v>0</v>
      </c>
      <c r="AN6" s="13">
        <f t="shared" si="3"/>
        <v>553.19000000000005</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53629.25</v>
      </c>
      <c r="AZ6" s="13" t="s">
        <v>2</v>
      </c>
      <c r="BA6" s="13">
        <f>ROUND($AY$6*BA5/$AZ$5,2)</f>
        <v>51529.57</v>
      </c>
      <c r="BB6" s="13">
        <f>ROUND($AY$6*BB5/$AZ$5,2)</f>
        <v>36998.879999999997</v>
      </c>
      <c r="BC6" s="13">
        <f t="shared" ref="BC6:BH6" si="4">ROUND($AY$6*BC5/$AZ$5,2)</f>
        <v>2984.05</v>
      </c>
      <c r="BD6" s="13">
        <f t="shared" si="4"/>
        <v>11546.64</v>
      </c>
      <c r="BE6" s="13">
        <f t="shared" si="4"/>
        <v>0</v>
      </c>
      <c r="BF6" s="13">
        <f t="shared" si="4"/>
        <v>0</v>
      </c>
      <c r="BG6" s="13">
        <f t="shared" si="4"/>
        <v>0</v>
      </c>
      <c r="BH6" s="13">
        <f t="shared" si="4"/>
        <v>0</v>
      </c>
      <c r="BI6" s="13">
        <f t="shared" ref="BI6:BT6" si="5">ROUND($AY$6*BI5/$AZ$5,2)</f>
        <v>0</v>
      </c>
      <c r="BJ6" s="13">
        <f t="shared" si="5"/>
        <v>0</v>
      </c>
      <c r="BK6" s="13">
        <f t="shared" si="5"/>
        <v>0</v>
      </c>
      <c r="BL6" s="13">
        <f t="shared" si="5"/>
        <v>2099.6799999999998</v>
      </c>
      <c r="BM6" s="13">
        <f t="shared" si="5"/>
        <v>0</v>
      </c>
      <c r="BN6" s="13">
        <f t="shared" si="5"/>
        <v>1487.41</v>
      </c>
      <c r="BO6" s="13">
        <f t="shared" si="5"/>
        <v>0</v>
      </c>
      <c r="BP6" s="13">
        <f t="shared" si="5"/>
        <v>59.07</v>
      </c>
      <c r="BQ6" s="13">
        <f t="shared" si="5"/>
        <v>0</v>
      </c>
      <c r="BR6" s="13">
        <f t="shared" si="5"/>
        <v>553.19000000000005</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9" t="s">
        <v>1086</v>
      </c>
      <c r="AD8" s="1597"/>
      <c r="AE8" s="1589"/>
      <c r="AF8" s="1357"/>
      <c r="AG8" s="1357"/>
      <c r="AH8" s="1357"/>
      <c r="AI8" s="1357"/>
      <c r="AJ8" s="1357"/>
      <c r="AK8" s="1357"/>
      <c r="AL8" s="1357"/>
      <c r="AM8" s="1357"/>
      <c r="AN8" s="1357"/>
      <c r="AO8" s="1357"/>
      <c r="AP8" s="1357"/>
      <c r="AQ8" s="1357"/>
      <c r="AR8" s="1357"/>
      <c r="AS8" s="1357"/>
      <c r="AT8" s="1070" t="s">
        <v>1087</v>
      </c>
      <c r="AU8" s="1591" t="s">
        <v>1088</v>
      </c>
      <c r="AV8" s="1070"/>
      <c r="AW8" s="1574"/>
      <c r="AX8" s="1070"/>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70"/>
      <c r="H9" s="1599" t="s">
        <v>1091</v>
      </c>
      <c r="I9" s="1600" t="s">
        <v>3384</v>
      </c>
      <c r="J9" s="809"/>
      <c r="K9" s="1600" t="s">
        <v>3385</v>
      </c>
      <c r="L9" s="809"/>
      <c r="M9" s="1600" t="s">
        <v>3385</v>
      </c>
      <c r="N9" s="809"/>
      <c r="O9" s="1600"/>
      <c r="P9" s="809"/>
      <c r="Q9" s="1600"/>
      <c r="R9" s="809"/>
      <c r="S9" s="1600"/>
      <c r="T9" s="809"/>
      <c r="U9" s="1600"/>
      <c r="V9" s="809"/>
      <c r="W9" s="1600"/>
      <c r="X9" s="1601"/>
      <c r="Y9" s="1600"/>
      <c r="Z9" s="809"/>
      <c r="AA9" s="1600"/>
      <c r="AB9" s="809"/>
      <c r="AC9" s="1592"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2"/>
      <c r="AT9" s="1591"/>
      <c r="AU9" s="1591" t="s">
        <v>1094</v>
      </c>
      <c r="AV9" s="1070"/>
      <c r="AW9" s="1574"/>
      <c r="AX9" s="1070"/>
      <c r="AY9" s="25"/>
      <c r="AZ9" s="25" t="s">
        <v>1084</v>
      </c>
      <c r="BA9" s="1603" t="s">
        <v>1095</v>
      </c>
      <c r="BB9" s="1604"/>
      <c r="BC9" s="1088"/>
      <c r="BD9" s="1088"/>
      <c r="BE9" s="1088"/>
      <c r="BF9" s="1088"/>
      <c r="BG9" s="1088"/>
      <c r="BH9" s="1088"/>
      <c r="BI9" s="1088"/>
      <c r="BJ9" s="1088"/>
      <c r="BK9" s="1605"/>
      <c r="BL9" s="12" t="s">
        <v>1096</v>
      </c>
      <c r="BM9" s="1357"/>
      <c r="BN9" s="1594"/>
      <c r="BO9" s="1357"/>
      <c r="BP9" s="1357"/>
      <c r="BQ9" s="1357"/>
      <c r="BR9" s="1357"/>
      <c r="BS9" s="1357"/>
      <c r="BT9" s="23"/>
    </row>
    <row r="10" spans="1:72" s="1598" customFormat="1" ht="12.75">
      <c r="A10" s="1591"/>
      <c r="B10" s="1591"/>
      <c r="C10" s="1591"/>
      <c r="D10" s="1591"/>
      <c r="E10" s="1591"/>
      <c r="F10" s="1591"/>
      <c r="G10" s="1070"/>
      <c r="H10" s="25"/>
      <c r="I10" s="1600" t="s">
        <v>3480</v>
      </c>
      <c r="J10" s="809"/>
      <c r="K10" s="1600" t="s">
        <v>3332</v>
      </c>
      <c r="L10" s="809"/>
      <c r="M10" s="1606" t="s">
        <v>3331</v>
      </c>
      <c r="N10" s="809"/>
      <c r="O10" s="1606"/>
      <c r="P10" s="809"/>
      <c r="Q10" s="1606"/>
      <c r="R10" s="809"/>
      <c r="S10" s="1606"/>
      <c r="T10" s="809"/>
      <c r="U10" s="1606"/>
      <c r="V10" s="809"/>
      <c r="W10" s="1606"/>
      <c r="X10" s="809"/>
      <c r="Y10" s="1606"/>
      <c r="Z10" s="809"/>
      <c r="AA10" s="1606"/>
      <c r="AB10" s="809"/>
      <c r="AC10" s="1070"/>
      <c r="AD10" s="12" t="s">
        <v>1097</v>
      </c>
      <c r="AE10" s="1607"/>
      <c r="AF10" s="12" t="s">
        <v>1097</v>
      </c>
      <c r="AG10" s="1607"/>
      <c r="AH10" s="12" t="s">
        <v>1098</v>
      </c>
      <c r="AI10" s="1607"/>
      <c r="AJ10" s="12" t="s">
        <v>1098</v>
      </c>
      <c r="AK10" s="1607"/>
      <c r="AL10" s="12" t="s">
        <v>1099</v>
      </c>
      <c r="AM10" s="1076"/>
      <c r="AN10" s="12" t="s">
        <v>1099</v>
      </c>
      <c r="AO10" s="1076"/>
      <c r="AP10" s="12" t="s">
        <v>1100</v>
      </c>
      <c r="AQ10" s="1076"/>
      <c r="AR10" s="12" t="s">
        <v>1100</v>
      </c>
      <c r="AS10" s="1076"/>
      <c r="AT10" s="1591"/>
      <c r="AU10" s="1591"/>
      <c r="AV10" s="1070"/>
      <c r="AW10" s="1574"/>
      <c r="AX10" s="1070"/>
      <c r="AY10" s="25"/>
      <c r="AZ10" s="25"/>
      <c r="BA10" s="1608" t="s">
        <v>1091</v>
      </c>
      <c r="BB10" s="160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70"/>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70"/>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70"/>
      <c r="AW11" s="1574"/>
      <c r="AX11" s="1070"/>
      <c r="AY11" s="25"/>
      <c r="AZ11" s="25"/>
      <c r="BA11" s="25"/>
      <c r="BB11" s="1596" t="str">
        <f>I10</f>
        <v>住宅</v>
      </c>
      <c r="BC11" s="1596" t="str">
        <f>K10</f>
        <v>仓储</v>
      </c>
      <c r="BD11" s="1596" t="str">
        <f>M10</f>
        <v>车库</v>
      </c>
      <c r="BE11" s="1596">
        <f>O10</f>
        <v>0</v>
      </c>
      <c r="BF11" s="1596">
        <f>Q10</f>
        <v>0</v>
      </c>
      <c r="BG11" s="1596">
        <f>S10</f>
        <v>0</v>
      </c>
      <c r="BH11" s="1596">
        <f>U10</f>
        <v>0</v>
      </c>
      <c r="BI11" s="1596">
        <f>W10</f>
        <v>0</v>
      </c>
      <c r="BJ11" s="1596">
        <f>Y10</f>
        <v>0</v>
      </c>
      <c r="BK11" s="1596">
        <f>AA10</f>
        <v>0</v>
      </c>
      <c r="BL11" s="1070"/>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70"/>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1"/>
      <c r="B13" s="1051"/>
      <c r="C13" s="1051"/>
      <c r="D13" s="1622" t="s">
        <v>3383</v>
      </c>
      <c r="E13" s="13">
        <f>IF($C$3="是",ROUND($A$3*G13/$B$3,2),ROUND($A$3*(G13-AT13)/$B$3,2))</f>
        <v>53629.25</v>
      </c>
      <c r="F13" s="29"/>
      <c r="G13" s="30">
        <f>H13+AC13+AT13</f>
        <v>155268.5</v>
      </c>
      <c r="H13" s="17">
        <f>SUMIF(I$12:AB$12,"总值",I13:AB13)</f>
        <v>149189.46</v>
      </c>
      <c r="I13" s="1623">
        <f>面积!E54</f>
        <v>107119.92</v>
      </c>
      <c r="J13" s="1623"/>
      <c r="K13" s="1623">
        <f>面积!F54</f>
        <v>8639.4699999999993</v>
      </c>
      <c r="L13" s="1623"/>
      <c r="M13" s="1623">
        <f>面积!G54</f>
        <v>33430.07</v>
      </c>
      <c r="N13" s="1623"/>
      <c r="O13" s="1623"/>
      <c r="P13" s="1623"/>
      <c r="Q13" s="1623"/>
      <c r="R13" s="1623"/>
      <c r="S13" s="1623"/>
      <c r="T13" s="1623"/>
      <c r="U13" s="1623"/>
      <c r="V13" s="1623"/>
      <c r="W13" s="1623"/>
      <c r="X13" s="1623"/>
      <c r="Y13" s="1623"/>
      <c r="Z13" s="1623"/>
      <c r="AA13" s="1623"/>
      <c r="AB13" s="1623"/>
      <c r="AC13" s="13">
        <f>SUMIF(AD$12:AS$12,"总值",AD13:AS13)</f>
        <v>6079.04</v>
      </c>
      <c r="AD13" s="1624">
        <f>面积!I54</f>
        <v>0</v>
      </c>
      <c r="AE13" s="1624"/>
      <c r="AF13" s="1624">
        <f>面积!J54</f>
        <v>4306.3900000000003</v>
      </c>
      <c r="AG13" s="1624"/>
      <c r="AH13" s="1624"/>
      <c r="AI13" s="1624"/>
      <c r="AJ13" s="1624">
        <f>面积!L54</f>
        <v>171.03</v>
      </c>
      <c r="AK13" s="1624"/>
      <c r="AL13" s="1624">
        <v>0</v>
      </c>
      <c r="AM13" s="1624"/>
      <c r="AN13" s="1624">
        <f>面积!N54</f>
        <v>1601.6200000000001</v>
      </c>
      <c r="AO13" s="1624"/>
      <c r="AP13" s="1624"/>
      <c r="AQ13" s="1624"/>
      <c r="AR13" s="1624"/>
      <c r="AS13" s="1624"/>
      <c r="AT13" s="1625"/>
      <c r="AU13" s="1626"/>
      <c r="AV13" s="8">
        <f t="shared" ref="AV13:AX17" si="6">A13</f>
        <v>0</v>
      </c>
      <c r="AW13" s="8">
        <f t="shared" si="6"/>
        <v>0</v>
      </c>
      <c r="AX13" s="8">
        <f t="shared" si="6"/>
        <v>0</v>
      </c>
      <c r="AY13" s="1346">
        <f>ROUND($AY$6*AZ13/$AZ$5,2)</f>
        <v>53629.25</v>
      </c>
      <c r="AZ13" s="13">
        <f>BA13+BL13</f>
        <v>155268.5</v>
      </c>
      <c r="BA13" s="13">
        <f>SUM(BB13:BK13)</f>
        <v>149189.46</v>
      </c>
      <c r="BB13" s="13">
        <f>IF($D13="是",I13-J13,0)</f>
        <v>107119.92</v>
      </c>
      <c r="BC13" s="13">
        <f>IF($D13="是",K13-L13,0)</f>
        <v>8639.4699999999993</v>
      </c>
      <c r="BD13" s="13">
        <f>IF($D13="是",M13-N13,0)</f>
        <v>33430.07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6079.04</v>
      </c>
      <c r="BM13" s="13">
        <f>IF($D13="是",AD13-AE13,0)</f>
        <v>0</v>
      </c>
      <c r="BN13" s="13">
        <f>IF($D13="是",AF13-AG13,0)</f>
        <v>4306.3900000000003</v>
      </c>
      <c r="BO13" s="13">
        <f>IF($D13="是",AH13-AI13,0)</f>
        <v>0</v>
      </c>
      <c r="BP13" s="13">
        <f>IF($D13="是",AJ13-AK13,0)</f>
        <v>171.03</v>
      </c>
      <c r="BQ13" s="13">
        <f>IF($D13="是",AL13-AM13,0)</f>
        <v>0</v>
      </c>
      <c r="BR13" s="13">
        <f>IF($D13="是",AN13-AO13,0)</f>
        <v>1601.6200000000001</v>
      </c>
      <c r="BS13" s="13">
        <f>IF($D13="是",AP13-AQ13,0)</f>
        <v>0</v>
      </c>
      <c r="BT13" s="19">
        <f>IF($D13="是",AR13-AS13,0)</f>
        <v>0</v>
      </c>
    </row>
    <row r="14" spans="1:72" s="1576" customFormat="1" ht="12.75">
      <c r="A14" s="1051"/>
      <c r="B14" s="1051"/>
      <c r="C14" s="1051"/>
      <c r="D14" s="1622" t="s">
        <v>3383</v>
      </c>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1"/>
      <c r="B15" s="1051"/>
      <c r="C15" s="1051"/>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1"/>
      <c r="B16" s="1051"/>
      <c r="C16" s="1051"/>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1"/>
      <c r="B17" s="1051"/>
      <c r="C17" s="1051"/>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c r="C18" s="1051"/>
      <c r="D18" s="1622"/>
      <c r="E18" s="32">
        <f t="shared" ref="E18:E112" si="7">IF($C$3="是",ROUND($A$3*G18/$B$3,2),ROUND($A$3*(G18-AT18)/$B$3,2))</f>
        <v>0</v>
      </c>
      <c r="F18" s="33"/>
      <c r="G18" s="34">
        <f t="shared" ref="G18:G109" si="8">H18+AC18+AT18</f>
        <v>0</v>
      </c>
      <c r="H18" s="35">
        <f t="shared" ref="H18:H109" si="9">SUMIF(I$12:AB$12,"总值",I18:AB18)</f>
        <v>0</v>
      </c>
      <c r="I18" s="1623"/>
      <c r="J18" s="36"/>
      <c r="K18" s="1623"/>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1051"/>
      <c r="C19" s="1051"/>
      <c r="D19" s="1622"/>
      <c r="E19" s="32">
        <f t="shared" si="7"/>
        <v>0</v>
      </c>
      <c r="F19" s="33"/>
      <c r="G19" s="34">
        <f t="shared" si="8"/>
        <v>0</v>
      </c>
      <c r="H19" s="35">
        <f t="shared" si="9"/>
        <v>0</v>
      </c>
      <c r="I19" s="1623"/>
      <c r="J19" s="36"/>
      <c r="K19" s="1623"/>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5" customHeight="1">
      <c r="A20" s="6"/>
      <c r="B20" s="1051"/>
      <c r="C20" s="1051"/>
      <c r="D20" s="1622"/>
      <c r="E20" s="32">
        <f t="shared" si="7"/>
        <v>0</v>
      </c>
      <c r="F20" s="33"/>
      <c r="G20" s="34">
        <f t="shared" si="8"/>
        <v>0</v>
      </c>
      <c r="H20" s="35">
        <f t="shared" si="9"/>
        <v>0</v>
      </c>
      <c r="I20" s="1623"/>
      <c r="J20" s="1623"/>
      <c r="K20" s="1623"/>
      <c r="L20" s="1623"/>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1051"/>
      <c r="C21" s="1051"/>
      <c r="D21" s="1622"/>
      <c r="E21" s="32">
        <f t="shared" si="7"/>
        <v>0</v>
      </c>
      <c r="F21" s="33"/>
      <c r="G21" s="34">
        <f t="shared" si="8"/>
        <v>0</v>
      </c>
      <c r="H21" s="35">
        <f t="shared" si="9"/>
        <v>0</v>
      </c>
      <c r="I21" s="1623"/>
      <c r="J21" s="1623"/>
      <c r="K21" s="1623"/>
      <c r="L21" s="1623"/>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1051"/>
      <c r="C22" s="1051"/>
      <c r="D22" s="1622"/>
      <c r="E22" s="32">
        <f t="shared" si="7"/>
        <v>0</v>
      </c>
      <c r="F22" s="33"/>
      <c r="G22" s="34">
        <f t="shared" si="8"/>
        <v>0</v>
      </c>
      <c r="H22" s="35">
        <f t="shared" si="9"/>
        <v>0</v>
      </c>
      <c r="I22" s="1623"/>
      <c r="J22" s="1623"/>
      <c r="K22" s="1623"/>
      <c r="L22" s="1623"/>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1051"/>
      <c r="C23" s="1051"/>
      <c r="D23" s="1622"/>
      <c r="E23" s="32">
        <f t="shared" si="7"/>
        <v>0</v>
      </c>
      <c r="F23" s="33"/>
      <c r="G23" s="34">
        <f t="shared" si="8"/>
        <v>0</v>
      </c>
      <c r="H23" s="35">
        <f t="shared" si="9"/>
        <v>0</v>
      </c>
      <c r="I23" s="1623"/>
      <c r="J23" s="1623"/>
      <c r="K23" s="1623"/>
      <c r="L23" s="1623"/>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c r="D24" s="1622"/>
      <c r="E24" s="32">
        <f t="shared" si="7"/>
        <v>0</v>
      </c>
      <c r="F24" s="33"/>
      <c r="G24" s="34">
        <f t="shared" si="8"/>
        <v>0</v>
      </c>
      <c r="H24" s="35">
        <f t="shared" si="9"/>
        <v>0</v>
      </c>
      <c r="I24" s="1623"/>
      <c r="J24" s="1623"/>
      <c r="K24" s="1623"/>
      <c r="L24" s="1623"/>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c r="D25" s="1622"/>
      <c r="E25" s="32">
        <f t="shared" si="7"/>
        <v>0</v>
      </c>
      <c r="F25" s="33"/>
      <c r="G25" s="34">
        <f t="shared" si="8"/>
        <v>0</v>
      </c>
      <c r="H25" s="35">
        <f t="shared" si="9"/>
        <v>0</v>
      </c>
      <c r="I25" s="1623"/>
      <c r="J25" s="1623"/>
      <c r="K25" s="1623"/>
      <c r="L25" s="1623"/>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c r="D26" s="1622"/>
      <c r="E26" s="32">
        <f t="shared" si="7"/>
        <v>0</v>
      </c>
      <c r="F26" s="33"/>
      <c r="G26" s="34">
        <f t="shared" si="8"/>
        <v>0</v>
      </c>
      <c r="H26" s="35">
        <f t="shared" si="9"/>
        <v>0</v>
      </c>
      <c r="I26" s="1623"/>
      <c r="J26" s="1623"/>
      <c r="K26" s="1623"/>
      <c r="L26" s="1623"/>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1"/>
      <c r="D27" s="1622"/>
      <c r="E27" s="32">
        <f t="shared" si="7"/>
        <v>0</v>
      </c>
      <c r="F27" s="33"/>
      <c r="G27" s="34">
        <f t="shared" si="8"/>
        <v>0</v>
      </c>
      <c r="H27" s="35">
        <f t="shared" si="9"/>
        <v>0</v>
      </c>
      <c r="I27" s="1623"/>
      <c r="J27" s="1623"/>
      <c r="K27" s="1623"/>
      <c r="L27" s="1623"/>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51"/>
      <c r="D28" s="1622"/>
      <c r="E28" s="32">
        <f t="shared" si="7"/>
        <v>0</v>
      </c>
      <c r="F28" s="33"/>
      <c r="G28" s="34">
        <f t="shared" si="8"/>
        <v>0</v>
      </c>
      <c r="H28" s="35">
        <f t="shared" si="9"/>
        <v>0</v>
      </c>
      <c r="I28" s="1623"/>
      <c r="J28" s="1623"/>
      <c r="K28" s="1623"/>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1"/>
      <c r="D29" s="1622"/>
      <c r="E29" s="32">
        <f t="shared" si="7"/>
        <v>0</v>
      </c>
      <c r="F29" s="33"/>
      <c r="G29" s="34">
        <f t="shared" si="8"/>
        <v>0</v>
      </c>
      <c r="H29" s="35">
        <f t="shared" si="9"/>
        <v>0</v>
      </c>
      <c r="I29" s="1623"/>
      <c r="J29" s="36"/>
      <c r="K29" s="1623"/>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70"/>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70"/>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70"/>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28" sqref="E2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9"/>
      <c r="C1" s="1139"/>
      <c r="D1" s="1139"/>
      <c r="E1" s="1139"/>
      <c r="F1" s="1139"/>
      <c r="G1" s="1139"/>
      <c r="H1" s="1139"/>
      <c r="I1" s="1139"/>
      <c r="J1" s="1139"/>
      <c r="K1" s="1139"/>
      <c r="L1" s="1139"/>
      <c r="M1" s="1139"/>
      <c r="N1" s="1139"/>
      <c r="O1" s="1139"/>
      <c r="P1" s="1139"/>
    </row>
    <row r="2" spans="1:16" ht="15">
      <c r="A2" s="3601" t="s">
        <v>1131</v>
      </c>
      <c r="B2" s="3601"/>
      <c r="C2" s="3601"/>
      <c r="D2" s="796" t="s">
        <v>1107</v>
      </c>
      <c r="E2" s="1636" t="s">
        <v>1108</v>
      </c>
      <c r="F2" s="2650"/>
      <c r="G2" s="2641"/>
      <c r="H2" s="2642"/>
      <c r="I2" s="2318" t="s">
        <v>1132</v>
      </c>
      <c r="J2" s="2650"/>
      <c r="K2" s="2650"/>
      <c r="L2" s="2650"/>
      <c r="M2" s="2650"/>
      <c r="N2" s="2652"/>
      <c r="O2" s="2650"/>
      <c r="P2" s="2650"/>
    </row>
    <row r="3" spans="1:16" ht="15.75" thickBot="1">
      <c r="A3" s="3602" t="s">
        <v>1105</v>
      </c>
      <c r="B3" s="3602"/>
      <c r="C3" s="3602"/>
      <c r="D3" s="43">
        <f>'数据-基础表'!AY6</f>
        <v>53629.25</v>
      </c>
      <c r="E3" s="43">
        <f>'数据-基础表'!AZ5</f>
        <v>155268.5</v>
      </c>
      <c r="F3" s="2650"/>
      <c r="G3" s="1145"/>
      <c r="H3" s="1026" t="s">
        <v>1106</v>
      </c>
      <c r="I3" s="855">
        <f>ROUND('数据-基础表'!B3/'数据-基础表'!A3,2)</f>
        <v>2.9</v>
      </c>
      <c r="J3" s="2650"/>
      <c r="K3" s="2650"/>
      <c r="L3" s="2650"/>
      <c r="M3" s="2650"/>
      <c r="N3" s="2652"/>
      <c r="O3" s="2650"/>
      <c r="P3" s="2650"/>
    </row>
    <row r="4" spans="1:16" ht="15">
      <c r="A4" s="3603"/>
      <c r="B4" s="3604"/>
      <c r="C4" s="3605"/>
      <c r="D4" s="1638" t="s">
        <v>1107</v>
      </c>
      <c r="E4" s="1639" t="s">
        <v>1108</v>
      </c>
      <c r="F4" s="2650"/>
      <c r="G4" s="2643" t="s">
        <v>1133</v>
      </c>
      <c r="H4" s="1026" t="s">
        <v>1113</v>
      </c>
      <c r="I4" s="855">
        <f>ROUND(SUMIF('数据-基础表'!I9:AS9,"地上",'数据-基础表'!I5:AS5)/'数据-基础表'!A3,2)</f>
        <v>2</v>
      </c>
      <c r="J4" s="2650"/>
      <c r="K4" s="2650"/>
      <c r="L4" s="2650"/>
      <c r="M4" s="2650"/>
      <c r="N4" s="2652"/>
      <c r="O4" s="2650"/>
      <c r="P4" s="2650"/>
    </row>
    <row r="5" spans="1:16">
      <c r="A5" s="44" t="s">
        <v>1109</v>
      </c>
      <c r="B5" s="3606" t="s">
        <v>1110</v>
      </c>
      <c r="C5" s="3606"/>
      <c r="D5" s="45">
        <f>ROUND($D$3*E5/$E$3,2)</f>
        <v>36998.879999999997</v>
      </c>
      <c r="E5" s="46">
        <f>SUMIF('数据-基础表'!$11:$11,"住宅",'数据-基础表'!$5:$5)</f>
        <v>107119.92</v>
      </c>
      <c r="F5" s="2650"/>
      <c r="G5" s="1145"/>
      <c r="H5" s="1026" t="s">
        <v>1106</v>
      </c>
      <c r="I5" s="855">
        <f>ROUND(E31/D31,2)</f>
        <v>2.9</v>
      </c>
      <c r="J5" s="2650"/>
      <c r="K5" s="2650"/>
      <c r="L5" s="2650"/>
      <c r="M5" s="2650"/>
      <c r="N5" s="2650"/>
      <c r="O5" s="2650"/>
      <c r="P5" s="2650"/>
    </row>
    <row r="6" spans="1:16" ht="15" thickBot="1">
      <c r="A6" s="1641"/>
      <c r="B6" s="3606" t="s">
        <v>1111</v>
      </c>
      <c r="C6" s="3606"/>
      <c r="D6" s="45">
        <f>ROUND($D$3*E6/$E$3,2)</f>
        <v>16630.37</v>
      </c>
      <c r="E6" s="46">
        <f>E3-E5</f>
        <v>48148.58</v>
      </c>
      <c r="F6" s="2650"/>
      <c r="G6" s="2644" t="s">
        <v>1112</v>
      </c>
      <c r="H6" s="1146" t="s">
        <v>1113</v>
      </c>
      <c r="I6" s="2645">
        <f>ROUND(F31/D31,2)</f>
        <v>2</v>
      </c>
      <c r="J6" s="2650"/>
      <c r="K6" s="2650"/>
      <c r="L6" s="2650"/>
      <c r="M6" s="2650"/>
      <c r="N6" s="2650"/>
      <c r="O6" s="2650"/>
      <c r="P6" s="2650"/>
    </row>
    <row r="7" spans="1:16" ht="15.75" thickBot="1">
      <c r="A7" s="3598"/>
      <c r="B7" s="3599"/>
      <c r="C7" s="3600"/>
      <c r="D7" s="1638" t="s">
        <v>1107</v>
      </c>
      <c r="E7" s="1642" t="s">
        <v>1114</v>
      </c>
      <c r="F7" s="2650"/>
      <c r="G7" s="2646" t="s">
        <v>1115</v>
      </c>
      <c r="H7" s="2647"/>
      <c r="I7" s="2648">
        <f>I6</f>
        <v>2</v>
      </c>
      <c r="J7" s="2650"/>
      <c r="K7" s="2650"/>
      <c r="L7" s="2650"/>
      <c r="M7" s="2650"/>
      <c r="N7" s="2650"/>
      <c r="O7" s="2650"/>
      <c r="P7" s="2650"/>
    </row>
    <row r="8" spans="1:16">
      <c r="A8" s="44" t="s">
        <v>1116</v>
      </c>
      <c r="B8" s="47" t="s">
        <v>1117</v>
      </c>
      <c r="C8" s="45" t="s">
        <v>1118</v>
      </c>
      <c r="D8" s="45">
        <f t="shared" ref="D8:D15" si="0">ROUND($D$3*E8/$E$3,2)</f>
        <v>36998.879999999997</v>
      </c>
      <c r="E8" s="48">
        <f>SUMIF('数据-基础表'!BB10:BK10,"地上",'数据-基础表'!BB5:BK5)</f>
        <v>107119.92</v>
      </c>
      <c r="F8" s="2650"/>
      <c r="G8" s="2651"/>
      <c r="H8" s="2651"/>
      <c r="I8" s="2650"/>
      <c r="J8" s="2650"/>
      <c r="K8" s="2650"/>
      <c r="L8" s="2650"/>
      <c r="M8" s="2650"/>
      <c r="N8" s="2650"/>
      <c r="O8" s="2650"/>
      <c r="P8" s="2650"/>
    </row>
    <row r="9" spans="1:16">
      <c r="A9" s="1643"/>
      <c r="B9" s="1644"/>
      <c r="C9" s="45" t="s">
        <v>1119</v>
      </c>
      <c r="D9" s="45">
        <f t="shared" si="0"/>
        <v>0</v>
      </c>
      <c r="E9" s="49">
        <v>0</v>
      </c>
      <c r="F9" s="2650"/>
      <c r="G9" s="2651"/>
      <c r="H9" s="2651"/>
      <c r="I9" s="2650"/>
      <c r="J9" s="2650"/>
      <c r="K9" s="2650"/>
      <c r="L9" s="2650"/>
      <c r="M9" s="2650"/>
      <c r="N9" s="2650"/>
      <c r="O9" s="2650"/>
      <c r="P9" s="2650"/>
    </row>
    <row r="10" spans="1:16">
      <c r="A10" s="1643"/>
      <c r="B10" s="1644"/>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1120</v>
      </c>
      <c r="D11" s="45">
        <f t="shared" si="0"/>
        <v>59.07</v>
      </c>
      <c r="E11" s="48">
        <f>SUMPRODUCT(('数据-基础表'!BB10:BK10="地下")*('数据-基础表'!BB11:BK11="办公")*('数据-基础表'!BB5:BK5))+'数据-基础表'!BP5</f>
        <v>171.03</v>
      </c>
      <c r="F11" s="2650"/>
      <c r="G11" s="2651"/>
      <c r="H11" s="2651"/>
      <c r="I11" s="2650"/>
      <c r="J11" s="2650"/>
      <c r="K11" s="2650"/>
      <c r="L11" s="2650"/>
      <c r="M11" s="2650"/>
      <c r="N11" s="2650"/>
      <c r="O11" s="2650"/>
      <c r="P11" s="2650"/>
    </row>
    <row r="12" spans="1:16">
      <c r="A12" s="1643"/>
      <c r="B12" s="1644"/>
      <c r="C12" s="45" t="s">
        <v>1121</v>
      </c>
      <c r="D12" s="45">
        <f t="shared" si="0"/>
        <v>2984.05</v>
      </c>
      <c r="E12" s="48">
        <f>SUMPRODUCT(('数据-基础表'!BB10:BK10="地下")*('数据-基础表'!BB11:BK11="仓储")*('数据-基础表'!BB5:BK5))</f>
        <v>8639.4699999999993</v>
      </c>
      <c r="F12" s="2650"/>
      <c r="G12" s="2651"/>
      <c r="H12" s="2651"/>
      <c r="I12" s="2650"/>
      <c r="J12" s="2650"/>
      <c r="K12" s="2650"/>
      <c r="L12" s="2650"/>
      <c r="M12" s="2650"/>
      <c r="N12" s="2650"/>
      <c r="O12" s="2650"/>
      <c r="P12" s="2650"/>
    </row>
    <row r="13" spans="1:16">
      <c r="A13" s="1643"/>
      <c r="B13" s="1644"/>
      <c r="C13" s="45" t="s">
        <v>1122</v>
      </c>
      <c r="D13" s="45">
        <f t="shared" si="0"/>
        <v>11546.64</v>
      </c>
      <c r="E13" s="48">
        <f>SUMPRODUCT(('数据-基础表'!BB10:BK10="地下")*('数据-基础表'!BB11:BK11="车库")*('数据-基础表'!BB5:BK5))</f>
        <v>33430.07</v>
      </c>
      <c r="F13" s="2650"/>
      <c r="G13" s="2651"/>
      <c r="H13" s="2651"/>
      <c r="I13" s="2650"/>
      <c r="J13" s="2650"/>
      <c r="K13" s="2650"/>
      <c r="L13" s="2650"/>
      <c r="M13" s="2650"/>
      <c r="N13" s="2650"/>
      <c r="O13" s="2650"/>
      <c r="P13" s="2650"/>
    </row>
    <row r="14" spans="1:16">
      <c r="A14" s="1643"/>
      <c r="B14" s="1644"/>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1123</v>
      </c>
      <c r="D16" s="47">
        <f>SUM(D8:D15)</f>
        <v>51588.639999999999</v>
      </c>
      <c r="E16" s="50">
        <f>SUM(E8:E15)</f>
        <v>149360.49</v>
      </c>
      <c r="F16" s="2650"/>
      <c r="G16" s="2651"/>
      <c r="H16" s="1645" t="s">
        <v>1135</v>
      </c>
      <c r="I16" s="1646"/>
      <c r="J16" s="1139"/>
      <c r="K16" s="3595" t="s">
        <v>1135</v>
      </c>
      <c r="L16" s="3596"/>
      <c r="M16" s="3596"/>
      <c r="N16" s="3596"/>
      <c r="O16" s="3596"/>
      <c r="P16" s="3597"/>
    </row>
    <row r="17" spans="1:19" ht="15">
      <c r="A17" s="1647" t="s">
        <v>1136</v>
      </c>
      <c r="B17" s="1648" t="s">
        <v>1137</v>
      </c>
      <c r="C17" s="1649" t="s">
        <v>1138</v>
      </c>
      <c r="D17" s="1650" t="s">
        <v>1126</v>
      </c>
      <c r="E17" s="1651" t="s">
        <v>1127</v>
      </c>
      <c r="F17" s="1652"/>
      <c r="G17" s="1653"/>
      <c r="H17" s="1654" t="s">
        <v>1139</v>
      </c>
      <c r="I17" s="1655" t="s">
        <v>1124</v>
      </c>
      <c r="J17" s="1139"/>
      <c r="K17" s="3592" t="s">
        <v>1140</v>
      </c>
      <c r="L17" s="3593"/>
      <c r="M17" s="3594"/>
      <c r="N17" s="3592" t="s">
        <v>1141</v>
      </c>
      <c r="O17" s="3593"/>
      <c r="P17" s="3594"/>
      <c r="R17" s="1637" t="s">
        <v>1142</v>
      </c>
      <c r="S17" s="56"/>
    </row>
    <row r="18" spans="1:19" ht="15">
      <c r="A18" s="1643"/>
      <c r="B18" s="1656"/>
      <c r="C18" s="1657"/>
      <c r="D18" s="1658"/>
      <c r="E18" s="1659" t="s">
        <v>1143</v>
      </c>
      <c r="F18" s="1660" t="s">
        <v>1144</v>
      </c>
      <c r="G18" s="1661" t="s">
        <v>1145</v>
      </c>
      <c r="H18" s="1041" t="s">
        <v>1146</v>
      </c>
      <c r="I18" s="1662" t="s">
        <v>1147</v>
      </c>
      <c r="J18" s="1139"/>
      <c r="K18" s="1041" t="s">
        <v>1148</v>
      </c>
      <c r="L18" s="1663" t="s">
        <v>1149</v>
      </c>
      <c r="M18" s="855" t="s">
        <v>1150</v>
      </c>
      <c r="N18" s="1041" t="s">
        <v>1148</v>
      </c>
      <c r="O18" s="1663" t="s">
        <v>1149</v>
      </c>
      <c r="P18" s="855" t="s">
        <v>1150</v>
      </c>
      <c r="R18" s="1026" t="s">
        <v>1151</v>
      </c>
      <c r="S18" s="1026" t="s">
        <v>1152</v>
      </c>
    </row>
    <row r="19" spans="1:19">
      <c r="A19" s="1664"/>
      <c r="B19" s="47" t="s">
        <v>1125</v>
      </c>
      <c r="C19" s="3408" t="s">
        <v>3605</v>
      </c>
      <c r="D19" s="45">
        <f>ROUND($D$3*E19/$E$3,2)</f>
        <v>36998.879999999997</v>
      </c>
      <c r="E19" s="53">
        <f t="shared" ref="E19:E26" si="1">SUM(F19:G19)</f>
        <v>107119.92</v>
      </c>
      <c r="F19" s="2786">
        <f>'数据-基础表'!I5</f>
        <v>107119.92</v>
      </c>
      <c r="G19" s="2787"/>
      <c r="H19" s="670">
        <f>ROUND($D$3*I19/$E$3,2)</f>
        <v>1943.69</v>
      </c>
      <c r="I19" s="48">
        <f t="shared" ref="I19:I26" si="2">IF($I$17="自定义",P19,M19)</f>
        <v>5627.4</v>
      </c>
      <c r="J19" s="1139"/>
      <c r="K19" s="1138">
        <f t="shared" ref="K19:K26" si="3">ROUND(E$28*E19/E$27,2)</f>
        <v>1149.98</v>
      </c>
      <c r="L19" s="1026">
        <f t="shared" ref="L19:L26" si="4">ROUND(IF(COUNTIF(C19,"*住宅*")&gt;0,E$29*E19/E$32,0),2)</f>
        <v>4477.42</v>
      </c>
      <c r="M19" s="1150">
        <f>K19+L19</f>
        <v>5627.4</v>
      </c>
      <c r="N19" s="1665"/>
      <c r="O19" s="1666"/>
      <c r="P19" s="1150">
        <f>N19+O19</f>
        <v>0</v>
      </c>
      <c r="R19" s="1026">
        <f t="shared" ref="R19:S26" si="5">D19+H19</f>
        <v>38942.57</v>
      </c>
      <c r="S19" s="1027">
        <f t="shared" si="5"/>
        <v>112747.31999999999</v>
      </c>
    </row>
    <row r="20" spans="1:19">
      <c r="A20" s="1667"/>
      <c r="B20" s="47" t="s">
        <v>1153</v>
      </c>
      <c r="C20" s="3408" t="s">
        <v>3606</v>
      </c>
      <c r="D20" s="45">
        <f t="shared" ref="D20:D26" si="6">ROUND($D$3*E20/$E$3,2)</f>
        <v>2984.05</v>
      </c>
      <c r="E20" s="53">
        <f t="shared" si="1"/>
        <v>8639.4699999999993</v>
      </c>
      <c r="F20" s="2786"/>
      <c r="G20" s="2787">
        <f>'数据-基础表'!K13</f>
        <v>8639.4699999999993</v>
      </c>
      <c r="H20" s="670">
        <f t="shared" ref="H20:H26" si="7">ROUND($D$3*I20/$E$3,2)</f>
        <v>32.04</v>
      </c>
      <c r="I20" s="48">
        <f t="shared" si="2"/>
        <v>92.75</v>
      </c>
      <c r="J20" s="1139"/>
      <c r="K20" s="1138">
        <f t="shared" si="3"/>
        <v>92.75</v>
      </c>
      <c r="L20" s="1026">
        <f t="shared" si="4"/>
        <v>0</v>
      </c>
      <c r="M20" s="1150">
        <f t="shared" ref="M20:M26" si="8">K20+L20</f>
        <v>92.75</v>
      </c>
      <c r="N20" s="1665"/>
      <c r="O20" s="1666"/>
      <c r="P20" s="1150">
        <f t="shared" ref="P20:P26" si="9">N20+O20</f>
        <v>0</v>
      </c>
      <c r="R20" s="1026">
        <f t="shared" si="5"/>
        <v>3016.09</v>
      </c>
      <c r="S20" s="1027">
        <f t="shared" si="5"/>
        <v>8732.2199999999993</v>
      </c>
    </row>
    <row r="21" spans="1:19">
      <c r="A21" s="1667"/>
      <c r="B21" s="47" t="s">
        <v>1153</v>
      </c>
      <c r="C21" s="3408" t="s">
        <v>3607</v>
      </c>
      <c r="D21" s="45">
        <f t="shared" si="6"/>
        <v>11546.64</v>
      </c>
      <c r="E21" s="53">
        <f t="shared" si="1"/>
        <v>33430.07</v>
      </c>
      <c r="F21" s="2786"/>
      <c r="G21" s="2787">
        <f>'数据-基础表'!M5</f>
        <v>33430.07</v>
      </c>
      <c r="H21" s="670">
        <f t="shared" si="7"/>
        <v>123.96</v>
      </c>
      <c r="I21" s="48">
        <f t="shared" si="2"/>
        <v>358.89</v>
      </c>
      <c r="J21" s="1139"/>
      <c r="K21" s="1138">
        <f t="shared" si="3"/>
        <v>358.89</v>
      </c>
      <c r="L21" s="1026">
        <f t="shared" si="4"/>
        <v>0</v>
      </c>
      <c r="M21" s="1150">
        <f t="shared" si="8"/>
        <v>358.89</v>
      </c>
      <c r="N21" s="1665"/>
      <c r="O21" s="1666"/>
      <c r="P21" s="1150">
        <f t="shared" si="9"/>
        <v>0</v>
      </c>
      <c r="R21" s="1026">
        <f t="shared" si="5"/>
        <v>11670.599999999999</v>
      </c>
      <c r="S21" s="1027">
        <f t="shared" si="5"/>
        <v>33788.959999999999</v>
      </c>
    </row>
    <row r="22" spans="1:19">
      <c r="A22" s="1667"/>
      <c r="B22" s="47" t="s">
        <v>1153</v>
      </c>
      <c r="C22" s="3409"/>
      <c r="D22" s="45">
        <f t="shared" si="6"/>
        <v>0</v>
      </c>
      <c r="E22" s="53">
        <f t="shared" si="1"/>
        <v>0</v>
      </c>
      <c r="F22" s="2788"/>
      <c r="G22" s="2789"/>
      <c r="H22" s="670">
        <f t="shared" si="7"/>
        <v>0</v>
      </c>
      <c r="I22" s="48">
        <f t="shared" si="2"/>
        <v>0</v>
      </c>
      <c r="J22" s="1139"/>
      <c r="K22" s="1138">
        <f t="shared" si="3"/>
        <v>0</v>
      </c>
      <c r="L22" s="1026">
        <f t="shared" si="4"/>
        <v>0</v>
      </c>
      <c r="M22" s="1150">
        <f t="shared" si="8"/>
        <v>0</v>
      </c>
      <c r="N22" s="1665"/>
      <c r="O22" s="1666"/>
      <c r="P22" s="1150">
        <f t="shared" si="9"/>
        <v>0</v>
      </c>
      <c r="R22" s="1026">
        <f t="shared" si="5"/>
        <v>0</v>
      </c>
      <c r="S22" s="1027">
        <f t="shared" si="5"/>
        <v>0</v>
      </c>
    </row>
    <row r="23" spans="1:19">
      <c r="A23" s="1667"/>
      <c r="B23" s="47" t="s">
        <v>1153</v>
      </c>
      <c r="C23" s="3409"/>
      <c r="D23" s="45">
        <f>ROUND($D$3*E23/$E$3,2)</f>
        <v>0</v>
      </c>
      <c r="E23" s="53">
        <f>SUM(F23:G23)</f>
        <v>0</v>
      </c>
      <c r="F23" s="2788"/>
      <c r="G23" s="2789"/>
      <c r="H23" s="670">
        <f>ROUND($D$3*I23/$E$3,2)</f>
        <v>0</v>
      </c>
      <c r="I23" s="48">
        <f t="shared" si="2"/>
        <v>0</v>
      </c>
      <c r="J23" s="1139"/>
      <c r="K23" s="1138">
        <f t="shared" si="3"/>
        <v>0</v>
      </c>
      <c r="L23" s="1026">
        <f t="shared" si="4"/>
        <v>0</v>
      </c>
      <c r="M23" s="1150">
        <f t="shared" si="8"/>
        <v>0</v>
      </c>
      <c r="N23" s="1665"/>
      <c r="O23" s="1666"/>
      <c r="P23" s="1150">
        <f t="shared" si="9"/>
        <v>0</v>
      </c>
      <c r="R23" s="1026">
        <f t="shared" si="5"/>
        <v>0</v>
      </c>
      <c r="S23" s="1027">
        <f t="shared" si="5"/>
        <v>0</v>
      </c>
    </row>
    <row r="24" spans="1:19">
      <c r="A24" s="1667"/>
      <c r="B24" s="47" t="s">
        <v>1153</v>
      </c>
      <c r="C24" s="3409"/>
      <c r="D24" s="45">
        <f>ROUND($D$3*E24/$E$3,2)</f>
        <v>0</v>
      </c>
      <c r="E24" s="53">
        <f>SUM(F24:G24)</f>
        <v>0</v>
      </c>
      <c r="F24" s="2788"/>
      <c r="G24" s="2789"/>
      <c r="H24" s="670">
        <f>ROUND($D$3*I24/$E$3,2)</f>
        <v>0</v>
      </c>
      <c r="I24" s="48">
        <f t="shared" si="2"/>
        <v>0</v>
      </c>
      <c r="J24" s="1139"/>
      <c r="K24" s="1138">
        <f t="shared" si="3"/>
        <v>0</v>
      </c>
      <c r="L24" s="1026">
        <f t="shared" si="4"/>
        <v>0</v>
      </c>
      <c r="M24" s="1150">
        <f t="shared" si="8"/>
        <v>0</v>
      </c>
      <c r="N24" s="1665"/>
      <c r="O24" s="1666"/>
      <c r="P24" s="1150">
        <f t="shared" si="9"/>
        <v>0</v>
      </c>
      <c r="R24" s="1026">
        <f t="shared" si="5"/>
        <v>0</v>
      </c>
      <c r="S24" s="1027">
        <f t="shared" si="5"/>
        <v>0</v>
      </c>
    </row>
    <row r="25" spans="1:19">
      <c r="A25" s="1667"/>
      <c r="B25" s="47" t="s">
        <v>1153</v>
      </c>
      <c r="C25" s="3409"/>
      <c r="D25" s="45">
        <f t="shared" si="6"/>
        <v>0</v>
      </c>
      <c r="E25" s="53">
        <f t="shared" si="1"/>
        <v>0</v>
      </c>
      <c r="F25" s="2788"/>
      <c r="G25" s="2789"/>
      <c r="H25" s="44">
        <f t="shared" si="7"/>
        <v>0</v>
      </c>
      <c r="I25" s="48">
        <f t="shared" si="2"/>
        <v>0</v>
      </c>
      <c r="J25" s="1139"/>
      <c r="K25" s="1138">
        <f t="shared" si="3"/>
        <v>0</v>
      </c>
      <c r="L25" s="1026">
        <f t="shared" si="4"/>
        <v>0</v>
      </c>
      <c r="M25" s="1150">
        <f t="shared" si="8"/>
        <v>0</v>
      </c>
      <c r="N25" s="1665"/>
      <c r="O25" s="1666"/>
      <c r="P25" s="1150">
        <f t="shared" si="9"/>
        <v>0</v>
      </c>
      <c r="R25" s="1026">
        <f t="shared" si="5"/>
        <v>0</v>
      </c>
      <c r="S25" s="1027">
        <f t="shared" si="5"/>
        <v>0</v>
      </c>
    </row>
    <row r="26" spans="1:19">
      <c r="A26" s="1667"/>
      <c r="B26" s="47" t="s">
        <v>1153</v>
      </c>
      <c r="C26" s="55"/>
      <c r="D26" s="45">
        <f t="shared" si="6"/>
        <v>0</v>
      </c>
      <c r="E26" s="53">
        <f t="shared" si="1"/>
        <v>0</v>
      </c>
      <c r="F26" s="2788"/>
      <c r="G26" s="2789"/>
      <c r="H26" s="44">
        <f t="shared" si="7"/>
        <v>0</v>
      </c>
      <c r="I26" s="48">
        <f t="shared" si="2"/>
        <v>0</v>
      </c>
      <c r="J26" s="1139"/>
      <c r="K26" s="1145">
        <f t="shared" si="3"/>
        <v>0</v>
      </c>
      <c r="L26" s="1146">
        <f t="shared" si="4"/>
        <v>0</v>
      </c>
      <c r="M26" s="59">
        <f t="shared" si="8"/>
        <v>0</v>
      </c>
      <c r="N26" s="1668"/>
      <c r="O26" s="1669"/>
      <c r="P26" s="59">
        <f t="shared" si="9"/>
        <v>0</v>
      </c>
      <c r="R26" s="1026">
        <f t="shared" si="5"/>
        <v>0</v>
      </c>
      <c r="S26" s="1027">
        <f t="shared" si="5"/>
        <v>0</v>
      </c>
    </row>
    <row r="27" spans="1:19" ht="29.25" thickBot="1">
      <c r="A27" s="1667"/>
      <c r="B27" s="45"/>
      <c r="C27" s="1670" t="s">
        <v>1154</v>
      </c>
      <c r="D27" s="1140">
        <f>SUM(D19:D26)</f>
        <v>51529.57</v>
      </c>
      <c r="E27" s="1141">
        <f>IF(SUM(E19:E26)='数据-基础表'!BA5,SUM(E19:E26),IF(F27="地上面积有误","面积有误","地下面积有误"))</f>
        <v>149189.46</v>
      </c>
      <c r="F27" s="1140">
        <f>IF(SUM(F19:F26)=E8,SUM(F19:F26),"地上面积有误")</f>
        <v>107119.92</v>
      </c>
      <c r="G27" s="1142">
        <f>SUM(G19:G26)</f>
        <v>42069.54</v>
      </c>
      <c r="H27" s="1143">
        <f>SUM(H19:H26)</f>
        <v>2099.69</v>
      </c>
      <c r="I27" s="1144">
        <f>SUM(I19:I26)</f>
        <v>6079.04</v>
      </c>
      <c r="J27" s="1139"/>
      <c r="K27" s="1147">
        <f>SUM(K19:K26)</f>
        <v>1601.62</v>
      </c>
      <c r="L27" s="1148">
        <f>SUM(L19:L26)</f>
        <v>4477.42</v>
      </c>
      <c r="M27" s="1151">
        <f>SUM(M19:M26)</f>
        <v>6079.04</v>
      </c>
      <c r="N27" s="1147">
        <f t="shared" ref="N27:O27" si="10">SUM(N19:N26)</f>
        <v>0</v>
      </c>
      <c r="O27" s="1148">
        <f t="shared" si="10"/>
        <v>0</v>
      </c>
      <c r="P27" s="1149">
        <f>SUM(P19:P26)</f>
        <v>0</v>
      </c>
      <c r="R27" s="1028" t="str">
        <f>IF(SUM(R19:R26)=$D$3,SUM(R19:R26),SUM(R19:R26)&amp;"误差"&amp;ROUND(SUM(R19:R26)-$D$3,2))</f>
        <v>53629.26误差0.01</v>
      </c>
      <c r="S27" s="1026">
        <f>IF(SUM(S19:S26)=$E$3,SUM(S19:S26),SUM(S19:S26)&amp;"误差"&amp;ROUND(SUM(S19:S26)-E3,2))</f>
        <v>155268.5</v>
      </c>
    </row>
    <row r="28" spans="1:19">
      <c r="A28" s="1667"/>
      <c r="B28" s="47" t="s">
        <v>1155</v>
      </c>
      <c r="C28" s="1038" t="s">
        <v>1156</v>
      </c>
      <c r="D28" s="45">
        <f>ROUND($D$3*E28/$E$3,2)</f>
        <v>553.19000000000005</v>
      </c>
      <c r="E28" s="53">
        <f>SUM(F28:G28)</f>
        <v>1601.6200000000001</v>
      </c>
      <c r="F28" s="56">
        <f>'数据-基础表'!BQ5+'数据-基础表'!BS5</f>
        <v>0</v>
      </c>
      <c r="G28" s="57">
        <f>'数据-基础表'!BR5+'数据-基础表'!BT5</f>
        <v>1601.6200000000001</v>
      </c>
      <c r="H28" s="2650"/>
      <c r="I28" s="2650"/>
      <c r="J28" s="2650"/>
      <c r="K28" s="2650"/>
      <c r="L28" s="2650"/>
      <c r="M28" s="2650"/>
      <c r="N28" s="2650"/>
      <c r="O28" s="2650"/>
      <c r="P28" s="2650"/>
    </row>
    <row r="29" spans="1:19">
      <c r="A29" s="1667"/>
      <c r="B29" s="47" t="s">
        <v>1155</v>
      </c>
      <c r="C29" s="1671" t="s">
        <v>1157</v>
      </c>
      <c r="D29" s="45">
        <f>ROUND($D$3*E29/$E$3,2)</f>
        <v>1546.49</v>
      </c>
      <c r="E29" s="53">
        <f>SUM(F29:G29)</f>
        <v>4477.42</v>
      </c>
      <c r="F29" s="58">
        <f>'数据-基础表'!BM5+'数据-基础表'!BO5</f>
        <v>0</v>
      </c>
      <c r="G29" s="59">
        <f>'数据-基础表'!BN5+'数据-基础表'!BP5</f>
        <v>4477.42</v>
      </c>
      <c r="H29" s="2650"/>
      <c r="I29" s="2650"/>
      <c r="J29" s="2650"/>
      <c r="K29" s="2650"/>
      <c r="L29" s="2650"/>
      <c r="M29" s="2650"/>
      <c r="N29" s="2650"/>
      <c r="O29" s="2650"/>
      <c r="P29" s="2650"/>
    </row>
    <row r="30" spans="1:19" ht="15">
      <c r="A30" s="1667"/>
      <c r="B30" s="47"/>
      <c r="C30" s="1672" t="s">
        <v>1154</v>
      </c>
      <c r="D30" s="1140">
        <f>SUM(D28:D29)</f>
        <v>2099.6800000000003</v>
      </c>
      <c r="E30" s="1140">
        <f>SUM(E28:E29)</f>
        <v>6079.04</v>
      </c>
      <c r="F30" s="1140">
        <f>SUM(F28:F29)</f>
        <v>0</v>
      </c>
      <c r="G30" s="1142">
        <f>SUM(G28:G29)</f>
        <v>6079.04</v>
      </c>
      <c r="H30" s="2650"/>
      <c r="I30" s="2650"/>
      <c r="J30" s="2650"/>
      <c r="K30" s="2650"/>
      <c r="L30" s="2650"/>
      <c r="M30" s="2650"/>
      <c r="N30" s="2650"/>
      <c r="O30" s="2650"/>
      <c r="P30" s="2650"/>
    </row>
    <row r="31" spans="1:19" ht="15.75" thickBot="1">
      <c r="A31" s="1673"/>
      <c r="B31" s="1674"/>
      <c r="C31" s="835" t="s">
        <v>1158</v>
      </c>
      <c r="D31" s="676">
        <f>D27+D30</f>
        <v>53629.25</v>
      </c>
      <c r="E31" s="676">
        <f>E27+E30</f>
        <v>155268.5</v>
      </c>
      <c r="F31" s="677">
        <f>F27+F30</f>
        <v>107119.92</v>
      </c>
      <c r="G31" s="678">
        <f>G27+G30</f>
        <v>48148.58</v>
      </c>
      <c r="H31" s="2650"/>
      <c r="I31" s="2650"/>
      <c r="J31" s="2650"/>
      <c r="K31" s="2650"/>
      <c r="L31" s="2650"/>
      <c r="M31" s="2650"/>
      <c r="N31" s="2650"/>
      <c r="O31" s="2650"/>
      <c r="P31" s="2650"/>
    </row>
    <row r="32" spans="1:19">
      <c r="A32" s="1640"/>
      <c r="B32" s="1640" t="s">
        <v>1159</v>
      </c>
      <c r="C32" s="1640"/>
      <c r="D32" s="1640"/>
      <c r="E32" s="1053">
        <f>SUMIF(C19:C26,"*住宅*",E19:E26)</f>
        <v>107119.92</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27"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9.12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1161</v>
      </c>
      <c r="B2" s="1045">
        <f>项目基本情况!D3</f>
        <v>45124</v>
      </c>
      <c r="C2" s="1681"/>
      <c r="D2" s="1682"/>
      <c r="E2" s="1681"/>
      <c r="F2" s="1681"/>
      <c r="G2" s="1681"/>
      <c r="H2" s="1681"/>
      <c r="I2" s="1681"/>
      <c r="J2" s="1681"/>
      <c r="K2" s="1168"/>
      <c r="L2" s="1168"/>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8"/>
      <c r="L3" s="1168"/>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49"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7" t="s">
        <v>1172</v>
      </c>
      <c r="F5" s="1696" t="s">
        <v>1173</v>
      </c>
      <c r="G5" s="1047" t="s">
        <v>1174</v>
      </c>
      <c r="H5" s="1047" t="s">
        <v>1175</v>
      </c>
      <c r="I5" s="1047" t="s">
        <v>1176</v>
      </c>
      <c r="J5" s="1697" t="s">
        <v>1177</v>
      </c>
      <c r="K5" s="1698" t="s">
        <v>1178</v>
      </c>
      <c r="L5" s="1699" t="s">
        <v>1179</v>
      </c>
      <c r="M5" s="1700" t="s">
        <v>1180</v>
      </c>
      <c r="N5" s="1701" t="s">
        <v>3637</v>
      </c>
      <c r="O5" s="1699" t="s">
        <v>1181</v>
      </c>
      <c r="P5" s="1702" t="s">
        <v>1182</v>
      </c>
      <c r="Q5" s="61" t="s">
        <v>1183</v>
      </c>
      <c r="R5" s="1703" t="s">
        <v>1184</v>
      </c>
      <c r="S5" s="1704" t="s">
        <v>1185</v>
      </c>
      <c r="T5" s="1705" t="s">
        <v>1186</v>
      </c>
      <c r="U5" s="1046" t="s">
        <v>1187</v>
      </c>
      <c r="V5" s="1047" t="s">
        <v>1188</v>
      </c>
      <c r="W5" s="1047" t="s">
        <v>1189</v>
      </c>
      <c r="X5" s="63"/>
      <c r="Y5" s="62" t="s">
        <v>1190</v>
      </c>
      <c r="Z5" s="1706" t="s">
        <v>1187</v>
      </c>
      <c r="AA5" s="1047" t="s">
        <v>1188</v>
      </c>
      <c r="AB5" s="1047" t="s">
        <v>1189</v>
      </c>
      <c r="AC5" s="63"/>
      <c r="AD5" s="63" t="s">
        <v>1190</v>
      </c>
      <c r="AE5" s="1046" t="s">
        <v>1191</v>
      </c>
      <c r="AF5" s="1047" t="s">
        <v>1192</v>
      </c>
      <c r="AG5" s="62" t="s">
        <v>1193</v>
      </c>
      <c r="AH5" s="1046" t="s">
        <v>1194</v>
      </c>
      <c r="AI5" s="1706" t="s">
        <v>1195</v>
      </c>
      <c r="AJ5" s="1706" t="s">
        <v>1196</v>
      </c>
      <c r="AK5" s="1047" t="s">
        <v>1197</v>
      </c>
      <c r="AL5" s="1047" t="s">
        <v>1198</v>
      </c>
      <c r="AM5" s="62" t="s">
        <v>1199</v>
      </c>
      <c r="AN5" s="1707" t="s">
        <v>1200</v>
      </c>
      <c r="AO5" s="1559" t="s">
        <v>1201</v>
      </c>
      <c r="AP5" s="1028"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3480</v>
      </c>
      <c r="D6" s="858">
        <f>SUMIF(项目基本情况!C$12:I$12,C6,项目基本情况!C$14:I$14)</f>
        <v>70</v>
      </c>
      <c r="E6" s="857">
        <f>IF(B6="","",SUMIF(项目基本情况!C$12:I$12,C6,项目基本情况!C$13:I$13))</f>
        <v>68688</v>
      </c>
      <c r="F6" s="64">
        <f>SUMIF(项目基本情况!C$12:I$12,C6,项目基本情况!C$15:I$15)</f>
        <v>64.55</v>
      </c>
      <c r="G6" s="65">
        <f>IF(ISERROR(ROUND(POWER(1+H6,D6-F6)*(POWER(1+H6,F6)-1)/(POWER(1+H6,D6)-1),3)),0,ROUND(POWER(1+H6,D6-F6)*(POWER(1+H6,F6)-1)/(POWER(1+H6,D6)-1),3))</f>
        <v>0.98399999999999999</v>
      </c>
      <c r="H6" s="732">
        <v>0.04</v>
      </c>
      <c r="I6" s="732">
        <v>4.4999999999999998E-2</v>
      </c>
      <c r="J6" s="66">
        <v>7.0000000000000007E-2</v>
      </c>
      <c r="K6" s="1030">
        <f>SUMIF('数据-汇总表'!C$19:C$33,A6,'数据-汇总表'!E$19:E$33)</f>
        <v>107119.92</v>
      </c>
      <c r="L6" s="733">
        <v>3800</v>
      </c>
      <c r="M6" s="67">
        <f t="shared" ref="M6:M14" si="0">ROUND(K6*L6/10000,0)</f>
        <v>40706</v>
      </c>
      <c r="N6" s="731">
        <v>0.55000000000000004</v>
      </c>
      <c r="O6" s="67">
        <f>IF($N$5="成新度","——",ROUND(M6*N6,0))</f>
        <v>22388</v>
      </c>
      <c r="P6" s="68">
        <f>IF($N$5="成新度","——",M6-O6)</f>
        <v>18318</v>
      </c>
      <c r="Q6" s="734">
        <v>0.15</v>
      </c>
      <c r="R6" s="69">
        <f ca="1">SUMIF('数据-汇总表'!C$19:C$33,A6,'数据-汇总表'!R$19:R$27)</f>
        <v>38942.57</v>
      </c>
      <c r="S6" s="51">
        <f>IF('数据-汇总表'!$I$17="按面积比例",SUMIF('数据-汇总表'!C$19:C$33,A6,'数据-汇总表'!K$19:K$33),SUMIF('数据-汇总表'!C$19:C$33,A6,'数据-汇总表'!N$19:N$33))</f>
        <v>1149.98</v>
      </c>
      <c r="T6" s="1172">
        <f>ROUND($L$14*S6/10000,0)</f>
        <v>345</v>
      </c>
      <c r="U6" s="3443"/>
      <c r="V6" s="70"/>
      <c r="W6" s="70"/>
      <c r="X6" s="1040"/>
      <c r="Y6" s="71"/>
      <c r="Z6" s="72"/>
      <c r="AA6" s="66"/>
      <c r="AB6" s="66"/>
      <c r="AC6" s="1040"/>
      <c r="AD6" s="73"/>
      <c r="AE6" s="1041">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407055696</v>
      </c>
      <c r="AQ6" s="52">
        <f>ROUND($L$14*$N$14*S6/10000,0)</f>
        <v>207</v>
      </c>
      <c r="AR6" s="52">
        <f>ROUND($L$14*(1-$N$14)*S6/10000,0)</f>
        <v>138</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地下仓储</v>
      </c>
      <c r="B7" s="1710" t="str">
        <f t="shared" ref="B7:B13" si="1">IF(A7=0,"","经营性")</f>
        <v>经营性</v>
      </c>
      <c r="C7" s="1711" t="s">
        <v>3332</v>
      </c>
      <c r="D7" s="858">
        <f>SUMIF(项目基本情况!C$12:I$12,C7,项目基本情况!C$14:I$14)</f>
        <v>50</v>
      </c>
      <c r="E7" s="857">
        <f>IF(B7="","",SUMIF(项目基本情况!C$12:I$12,C7,项目基本情况!C$13:I$13))</f>
        <v>61383</v>
      </c>
      <c r="F7" s="64">
        <f>SUMIF(项目基本情况!C$12:I$12,C7,项目基本情况!C$15:I$15)</f>
        <v>44.54</v>
      </c>
      <c r="G7" s="65">
        <f t="shared" ref="G7:G11" si="2">IF(ISERROR(ROUND(POWER(1+H7,D7-F7)*(POWER(1+H7,F7)-1)/(POWER(1+H7,D7)-1),3)),0,ROUND(POWER(1+H7,D7-F7)*(POWER(1+H7,F7)-1)/(POWER(1+H7,D7)-1),3))</f>
        <v>0.96599999999999997</v>
      </c>
      <c r="H7" s="732">
        <v>4.4999999999999998E-2</v>
      </c>
      <c r="I7" s="732">
        <v>0.05</v>
      </c>
      <c r="J7" s="66">
        <v>7.0000000000000007E-2</v>
      </c>
      <c r="K7" s="1030">
        <f>SUMIF('数据-汇总表'!C$19:C$33,A7,'数据-汇总表'!E$19:E$33)</f>
        <v>8639.4699999999993</v>
      </c>
      <c r="L7" s="733">
        <v>3000</v>
      </c>
      <c r="M7" s="67">
        <f t="shared" si="0"/>
        <v>2592</v>
      </c>
      <c r="N7" s="731">
        <v>0.6</v>
      </c>
      <c r="O7" s="67">
        <f t="shared" ref="O7:O14" si="3">IF($N$5="成新度","——",ROUND(M7*N7,0))</f>
        <v>1555</v>
      </c>
      <c r="P7" s="68">
        <f t="shared" ref="P7:P14" si="4">IF($N$5="成新度","——",M7-O7)</f>
        <v>1037</v>
      </c>
      <c r="Q7" s="734">
        <v>0.05</v>
      </c>
      <c r="R7" s="69">
        <f ca="1">SUMIF('数据-汇总表'!C$19:C$33,A7,'数据-汇总表'!R$19:R$27)</f>
        <v>3016.09</v>
      </c>
      <c r="S7" s="51">
        <f>IF('数据-汇总表'!$I$17="按面积比例",SUMIF('数据-汇总表'!C$19:C$33,A7,'数据-汇总表'!K$19:K$33),SUMIF('数据-汇总表'!C$19:C$33,A7,'数据-汇总表'!N$19:N$33))</f>
        <v>92.75</v>
      </c>
      <c r="T7" s="1172">
        <f t="shared" ref="T7:T13" si="5">ROUND($L$14*S7/10000,0)</f>
        <v>28</v>
      </c>
      <c r="U7" s="3420">
        <v>0.8</v>
      </c>
      <c r="V7" s="735">
        <v>0.02</v>
      </c>
      <c r="W7" s="735">
        <v>0.1</v>
      </c>
      <c r="X7" s="1040"/>
      <c r="Y7" s="71">
        <v>1</v>
      </c>
      <c r="Z7" s="72"/>
      <c r="AA7" s="66"/>
      <c r="AB7" s="66"/>
      <c r="AC7" s="1040"/>
      <c r="AD7" s="73"/>
      <c r="AE7" s="1041">
        <f t="shared" ref="AE7:AE13" ca="1" si="6">IF(AN7="",0,SUMIF(INDIRECT("'"&amp;AN7&amp;"'"&amp;"!E:E"),$AE$5,INDIRECT("'"&amp;AN7&amp;"'"&amp;"!F:F")))</f>
        <v>44.54</v>
      </c>
      <c r="AF7" s="1345"/>
      <c r="AG7" s="138">
        <f t="shared" ref="AG7:AG13" si="7">IF(AF7="",0,AE7-AF7)</f>
        <v>0</v>
      </c>
      <c r="AH7" s="74"/>
      <c r="AI7" s="76">
        <v>365</v>
      </c>
      <c r="AJ7" s="77"/>
      <c r="AK7" s="737">
        <v>8.0000000000000002E-3</v>
      </c>
      <c r="AL7" s="738">
        <v>1E-3</v>
      </c>
      <c r="AM7" s="739">
        <v>8.0000000000000002E-3</v>
      </c>
      <c r="AN7" s="1712" t="s">
        <v>3704</v>
      </c>
      <c r="AO7" s="52">
        <f t="shared" ref="AO7:AO13" ca="1" si="8">SUMIF(INDIRECT("'"&amp;AN7&amp;"'"&amp;"!A:A"),"总价",INDIRECT("'"&amp;AN7&amp;"'"&amp;"!B:B"))</f>
        <v>3770</v>
      </c>
      <c r="AP7" s="1713">
        <f t="shared" ref="AP7:AP13" si="9">IF(C7="住宅",K7*L7,0)</f>
        <v>0</v>
      </c>
      <c r="AQ7" s="52">
        <f t="shared" ref="AQ7:AQ13" si="10">ROUND($L$14*$N$14*S7/10000,0)</f>
        <v>17</v>
      </c>
      <c r="AR7" s="52">
        <f t="shared" ref="AR7:AR13" si="11">ROUND($L$14*(1-$N$14)*S7/10000,0)</f>
        <v>11</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地下车库</v>
      </c>
      <c r="B8" s="1710" t="str">
        <f t="shared" si="1"/>
        <v>经营性</v>
      </c>
      <c r="C8" s="1711" t="s">
        <v>3331</v>
      </c>
      <c r="D8" s="858">
        <f>SUMIF(项目基本情况!C$12:I$12,C8,项目基本情况!C$14:I$14)</f>
        <v>50</v>
      </c>
      <c r="E8" s="857">
        <f>IF(B8="","",SUMIF(项目基本情况!C$12:I$12,C8,项目基本情况!C$13:I$13))</f>
        <v>61383</v>
      </c>
      <c r="F8" s="64">
        <f>SUMIF(项目基本情况!C$12:I$12,C8,项目基本情况!C$15:I$15)</f>
        <v>44.54</v>
      </c>
      <c r="G8" s="65">
        <f t="shared" si="2"/>
        <v>0.96599999999999997</v>
      </c>
      <c r="H8" s="732">
        <v>4.4999999999999998E-2</v>
      </c>
      <c r="I8" s="732">
        <v>0.05</v>
      </c>
      <c r="J8" s="66">
        <v>7.0000000000000007E-2</v>
      </c>
      <c r="K8" s="1030">
        <f>SUMIF('数据-汇总表'!C$19:C$33,A8,'数据-汇总表'!E$19:E$33)</f>
        <v>33430.07</v>
      </c>
      <c r="L8" s="733">
        <f>L7</f>
        <v>3000</v>
      </c>
      <c r="M8" s="67">
        <f>ROUND(K8*L8/10000,0)</f>
        <v>10029</v>
      </c>
      <c r="N8" s="731">
        <v>0.6</v>
      </c>
      <c r="O8" s="67">
        <f t="shared" si="3"/>
        <v>6017</v>
      </c>
      <c r="P8" s="68">
        <f t="shared" si="4"/>
        <v>4012</v>
      </c>
      <c r="Q8" s="734">
        <v>0.05</v>
      </c>
      <c r="R8" s="69">
        <f ca="1">SUMIF('数据-汇总表'!C$19:C$33,A8,'数据-汇总表'!R$19:R$27)</f>
        <v>11670.599999999999</v>
      </c>
      <c r="S8" s="51">
        <f>IF('数据-汇总表'!$I$17="按面积比例",SUMIF('数据-汇总表'!C$19:C$33,A8,'数据-汇总表'!K$19:K$33),SUMIF('数据-汇总表'!C$19:C$33,A8,'数据-汇总表'!N$19:N$33))</f>
        <v>358.89</v>
      </c>
      <c r="T8" s="1172">
        <f t="shared" si="5"/>
        <v>108</v>
      </c>
      <c r="U8" s="3420">
        <v>400</v>
      </c>
      <c r="V8" s="735">
        <v>0.02</v>
      </c>
      <c r="W8" s="735">
        <v>0.1</v>
      </c>
      <c r="X8" s="1040"/>
      <c r="Y8" s="71">
        <v>1</v>
      </c>
      <c r="Z8" s="72"/>
      <c r="AA8" s="66"/>
      <c r="AB8" s="66"/>
      <c r="AC8" s="1040"/>
      <c r="AD8" s="73"/>
      <c r="AE8" s="1041">
        <f t="shared" ca="1" si="6"/>
        <v>44.54</v>
      </c>
      <c r="AF8" s="1345"/>
      <c r="AG8" s="138">
        <f t="shared" si="7"/>
        <v>0</v>
      </c>
      <c r="AH8" s="736">
        <v>1011</v>
      </c>
      <c r="AI8" s="76">
        <v>12</v>
      </c>
      <c r="AJ8" s="77"/>
      <c r="AK8" s="737">
        <v>8.0000000000000002E-3</v>
      </c>
      <c r="AL8" s="738">
        <v>1E-3</v>
      </c>
      <c r="AM8" s="739">
        <v>8.0000000000000002E-3</v>
      </c>
      <c r="AN8" s="1712" t="s">
        <v>3386</v>
      </c>
      <c r="AO8" s="52">
        <f t="shared" ca="1" si="8"/>
        <v>5752</v>
      </c>
      <c r="AP8" s="1713">
        <f t="shared" si="9"/>
        <v>0</v>
      </c>
      <c r="AQ8" s="52">
        <f t="shared" si="10"/>
        <v>65</v>
      </c>
      <c r="AR8" s="52">
        <f t="shared" si="11"/>
        <v>43</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9"/>
      <c r="V9" s="70"/>
      <c r="W9" s="70"/>
      <c r="X9" s="1040"/>
      <c r="Y9" s="71"/>
      <c r="Z9" s="72"/>
      <c r="AA9" s="66"/>
      <c r="AB9" s="66"/>
      <c r="AC9" s="1040"/>
      <c r="AD9" s="73"/>
      <c r="AE9" s="1041">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9"/>
      <c r="V10" s="70"/>
      <c r="W10" s="70"/>
      <c r="X10" s="1040"/>
      <c r="Y10" s="71"/>
      <c r="Z10" s="72"/>
      <c r="AA10" s="66"/>
      <c r="AB10" s="66"/>
      <c r="AC10" s="1040"/>
      <c r="AD10" s="73"/>
      <c r="AE10" s="1041">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9"/>
      <c r="V11" s="66"/>
      <c r="W11" s="66"/>
      <c r="X11" s="1040"/>
      <c r="Y11" s="71"/>
      <c r="Z11" s="84"/>
      <c r="AA11" s="66"/>
      <c r="AB11" s="66"/>
      <c r="AC11" s="1040"/>
      <c r="AD11" s="73"/>
      <c r="AE11" s="1041">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9"/>
      <c r="V12" s="66"/>
      <c r="W12" s="66"/>
      <c r="X12" s="1040"/>
      <c r="Y12" s="71"/>
      <c r="Z12" s="84"/>
      <c r="AA12" s="66"/>
      <c r="AB12" s="66"/>
      <c r="AC12" s="1040"/>
      <c r="AD12" s="73"/>
      <c r="AE12" s="1041">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1"/>
      <c r="V13" s="70"/>
      <c r="W13" s="70"/>
      <c r="X13" s="1040"/>
      <c r="Y13" s="71"/>
      <c r="Z13" s="72"/>
      <c r="AA13" s="66"/>
      <c r="AB13" s="66"/>
      <c r="AC13" s="1040"/>
      <c r="AD13" s="73"/>
      <c r="AE13" s="1041">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8"/>
      <c r="E14" s="857"/>
      <c r="F14" s="64"/>
      <c r="G14" s="65"/>
      <c r="H14" s="1029"/>
      <c r="I14" s="1029"/>
      <c r="J14" s="1029"/>
      <c r="K14" s="1030">
        <f>SUMIF('数据-汇总表'!C$19:C$33,A14,'数据-汇总表'!E$19:E$33)</f>
        <v>1601.6200000000001</v>
      </c>
      <c r="L14" s="82">
        <f>L8</f>
        <v>3000</v>
      </c>
      <c r="M14" s="67">
        <f t="shared" si="0"/>
        <v>480</v>
      </c>
      <c r="N14" s="83">
        <f>N8</f>
        <v>0.6</v>
      </c>
      <c r="O14" s="67">
        <f t="shared" si="3"/>
        <v>288</v>
      </c>
      <c r="P14" s="68">
        <f t="shared" si="4"/>
        <v>192</v>
      </c>
      <c r="Q14" s="1033"/>
      <c r="R14" s="69"/>
      <c r="S14" s="51"/>
      <c r="T14" s="1172"/>
      <c r="U14" s="670"/>
      <c r="V14" s="1035"/>
      <c r="W14" s="1035"/>
      <c r="X14" s="1036"/>
      <c r="Y14" s="1037"/>
      <c r="Z14" s="1038"/>
      <c r="AA14" s="1039"/>
      <c r="AB14" s="1039"/>
      <c r="AC14" s="1040"/>
      <c r="AD14" s="1036"/>
      <c r="AE14" s="1041"/>
      <c r="AF14" s="52"/>
      <c r="AG14" s="138"/>
      <c r="AH14" s="1041"/>
      <c r="AI14" s="1354"/>
      <c r="AJ14" s="704"/>
      <c r="AK14" s="1042"/>
      <c r="AL14" s="1043"/>
      <c r="AM14" s="1044"/>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8"/>
      <c r="E15" s="857"/>
      <c r="F15" s="64"/>
      <c r="G15" s="65"/>
      <c r="H15" s="1029"/>
      <c r="I15" s="1029"/>
      <c r="J15" s="1029"/>
      <c r="K15" s="1030">
        <f>SUMIF('数据-汇总表'!C$19:C$33,A15,'数据-汇总表'!E$19:E$33)</f>
        <v>4477.42</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4"/>
      <c r="AJ15" s="704"/>
      <c r="AK15" s="1042"/>
      <c r="AL15" s="1043"/>
      <c r="AM15" s="1044"/>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3"/>
      <c r="D16" s="1717"/>
      <c r="E16" s="88"/>
      <c r="F16" s="88"/>
      <c r="G16" s="89">
        <f>ROUND(SUMPRODUCT(G6:G13,K6:K13)/SUMPRODUCT((G6:G13&gt;0)*(K6:K13)),3)</f>
        <v>0.97899999999999998</v>
      </c>
      <c r="H16" s="90">
        <f>ROUND(SUMPRODUCT(H6:H13,K6:K13)/SUMPRODUCT((H6:H13&gt;0)*(K6:K13)),3)</f>
        <v>4.1000000000000002E-2</v>
      </c>
      <c r="I16" s="91"/>
      <c r="J16" s="91"/>
      <c r="K16" s="92">
        <f>SUM(K6:K15)</f>
        <v>155268.5</v>
      </c>
      <c r="L16" s="93">
        <f>ROUND(M16*10000/SUM(K6:K14),0)</f>
        <v>3568</v>
      </c>
      <c r="M16" s="93">
        <f>SUM(M6:M14)</f>
        <v>53807</v>
      </c>
      <c r="N16" s="94">
        <f>ROUND(SUMPRODUCT(M6:M14,N6:N14)/M16,3)</f>
        <v>0.56200000000000006</v>
      </c>
      <c r="O16" s="93">
        <f>SUM(O6:O14)</f>
        <v>30248</v>
      </c>
      <c r="P16" s="93">
        <f>SUM(P6:P14)</f>
        <v>23559</v>
      </c>
      <c r="Q16" s="95">
        <f>ROUND(SUMPRODUCT(Q6:Q13,K6:K13)/SUMPRODUCT((Q6:Q13&gt;0)*(K6:K13)),2)</f>
        <v>0.12</v>
      </c>
      <c r="R16" s="1034">
        <f ca="1">SUM(R6:R13)</f>
        <v>53629.26</v>
      </c>
      <c r="S16" s="96">
        <f>SUM(S6:S13)</f>
        <v>1601.62</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1210</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f>K8/AH8</f>
        <v>33.06634025717112</v>
      </c>
      <c r="AI18" s="2662"/>
      <c r="AJ18" s="2662"/>
      <c r="AK18" s="2662"/>
      <c r="AL18" s="2662"/>
      <c r="AM18" s="2662"/>
      <c r="AN18" s="2662"/>
      <c r="AO18" s="2662"/>
      <c r="AP18" s="2662"/>
      <c r="AQ18" s="2662"/>
      <c r="AR18" s="2662"/>
    </row>
    <row r="19" spans="1:67" ht="14.25">
      <c r="A19" s="1719" t="s">
        <v>1211</v>
      </c>
      <c r="B19" s="103">
        <v>0</v>
      </c>
      <c r="C19" s="2790" t="s">
        <v>2297</v>
      </c>
      <c r="D19" s="2667"/>
      <c r="E19" s="2664"/>
      <c r="F19" s="2664"/>
      <c r="G19" s="2664"/>
      <c r="H19" s="2664"/>
      <c r="I19" s="2664"/>
      <c r="J19" s="2664"/>
      <c r="K19" s="2663">
        <v>53916.75</v>
      </c>
      <c r="L19" s="2663"/>
      <c r="M19" s="3441"/>
      <c r="N19" s="344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1212</v>
      </c>
      <c r="B20" s="104">
        <v>2</v>
      </c>
      <c r="C20" s="2791" t="s">
        <v>2295</v>
      </c>
      <c r="D20" s="2667"/>
      <c r="E20" s="2664"/>
      <c r="F20" s="2664"/>
      <c r="G20" s="2664"/>
      <c r="H20" s="2664"/>
      <c r="I20" s="2664"/>
      <c r="J20" s="2664"/>
      <c r="K20" s="2663">
        <f>K19*10000/K16</f>
        <v>3472.4847602701129</v>
      </c>
      <c r="L20" s="2663"/>
      <c r="M20" s="3441"/>
      <c r="N20" s="3442"/>
      <c r="O20" s="2662"/>
      <c r="P20" s="2662"/>
      <c r="Q20" s="2662"/>
      <c r="R20" s="2662"/>
      <c r="S20" s="2662"/>
      <c r="T20" s="2662"/>
      <c r="U20" s="3450"/>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1213</v>
      </c>
      <c r="B21" s="104">
        <f>B20*N14</f>
        <v>1.2</v>
      </c>
      <c r="C21" s="2664"/>
      <c r="D21" s="2667"/>
      <c r="E21" s="2664"/>
      <c r="F21" s="2664"/>
      <c r="G21" s="2664"/>
      <c r="H21" s="2664"/>
      <c r="I21" s="2664"/>
      <c r="J21" s="2664"/>
      <c r="K21" s="2663"/>
      <c r="L21" s="2663"/>
      <c r="M21" s="3441"/>
      <c r="N21" s="3442"/>
      <c r="O21" s="2662"/>
      <c r="P21" s="2662"/>
      <c r="Q21" s="2662"/>
      <c r="R21" s="2662"/>
      <c r="S21" s="2662"/>
      <c r="T21" s="2662"/>
      <c r="U21" s="1678"/>
      <c r="V21" s="1678"/>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1214</v>
      </c>
      <c r="B22" s="105">
        <f>B19+B20</f>
        <v>2</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1215</v>
      </c>
      <c r="B23" s="105">
        <f>B19+B21</f>
        <v>1.2</v>
      </c>
      <c r="C23" s="2664"/>
      <c r="D23" s="2667"/>
      <c r="E23" s="2664"/>
      <c r="F23" s="2664"/>
      <c r="G23" s="2664"/>
      <c r="H23" s="2664"/>
      <c r="I23" s="2664"/>
      <c r="J23" s="2664"/>
      <c r="K23" s="2663"/>
      <c r="L23" s="2663"/>
      <c r="M23" s="2662"/>
      <c r="N23" s="2662"/>
      <c r="O23" s="2662"/>
      <c r="P23" s="2662"/>
      <c r="Q23" s="2662"/>
      <c r="R23" s="2662"/>
      <c r="S23" s="2662"/>
      <c r="T23" s="2662"/>
      <c r="U23" s="3450"/>
      <c r="V23" s="3451"/>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1216</v>
      </c>
      <c r="B24" s="106">
        <f>B20-B21</f>
        <v>0.8</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1217</v>
      </c>
      <c r="B26" s="1723" t="s">
        <v>1218</v>
      </c>
      <c r="C26" s="2668" t="s">
        <v>1219</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1220</v>
      </c>
      <c r="B27" s="107">
        <v>150</v>
      </c>
      <c r="C27" s="2792" t="s">
        <v>2299</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5" customFormat="1" ht="27.75">
      <c r="A28" s="1726" t="s">
        <v>1221</v>
      </c>
      <c r="B28" s="110">
        <v>190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5" customFormat="1" ht="28.5" thickBot="1">
      <c r="A29" s="1727" t="s">
        <v>1222</v>
      </c>
      <c r="B29" s="112">
        <v>2522</v>
      </c>
      <c r="C29" s="2793" t="s">
        <v>2286</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5" customFormat="1" ht="27">
      <c r="A30" s="1728" t="s">
        <v>1223</v>
      </c>
      <c r="B30" s="671">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5" customFormat="1" ht="27">
      <c r="A31" s="1726" t="s">
        <v>1224</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5" customFormat="1" ht="27.75" thickBot="1">
      <c r="A32" s="1729" t="s">
        <v>1225</v>
      </c>
      <c r="B32" s="672"/>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5" customFormat="1" ht="14.25">
      <c r="A33" s="1724" t="s">
        <v>1226</v>
      </c>
      <c r="B33" s="673">
        <v>0.03</v>
      </c>
      <c r="C33" s="2794" t="s">
        <v>2287</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5" customFormat="1" ht="14.25">
      <c r="A34" s="1726" t="s">
        <v>1227</v>
      </c>
      <c r="B34" s="113">
        <v>0.04</v>
      </c>
      <c r="C34" s="2794" t="s">
        <v>2288</v>
      </c>
      <c r="D34" s="2675" t="s">
        <v>2296</v>
      </c>
      <c r="E34" s="2673"/>
      <c r="F34" s="2664"/>
      <c r="G34" s="2662">
        <f>'数据-汇总表'!E29*'数据-取费表'!L14/10000</f>
        <v>1343.2260000000001</v>
      </c>
      <c r="H34" s="2664"/>
      <c r="I34" s="2664"/>
      <c r="J34" s="2664"/>
      <c r="K34" s="2663"/>
      <c r="L34" s="2663"/>
      <c r="M34" s="2662"/>
      <c r="N34" s="2662"/>
      <c r="O34" s="2662"/>
      <c r="P34" s="2662"/>
      <c r="Q34" s="794"/>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5" customFormat="1" ht="14.25">
      <c r="A35" s="1726" t="s">
        <v>1228</v>
      </c>
      <c r="B35" s="110">
        <v>200</v>
      </c>
      <c r="C35" s="2794" t="s">
        <v>2289</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7" t="s">
        <v>1229</v>
      </c>
      <c r="B36" s="114">
        <v>1.4999999999999999E-2</v>
      </c>
      <c r="C36" s="2794" t="s">
        <v>2290</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1230</v>
      </c>
      <c r="B37" s="115">
        <v>0.02</v>
      </c>
      <c r="C37" s="2794" t="s">
        <v>2291</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1231</v>
      </c>
      <c r="B38" s="115">
        <v>0.02</v>
      </c>
      <c r="C38" s="2794" t="s">
        <v>2291</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1232</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2306</v>
      </c>
      <c r="B40" s="1078">
        <f ca="1">IF(A40="利息：取LPR",存贷款利率!G1,存贷款利率!G1+C40)</f>
        <v>3.5499999999999997E-2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1233</v>
      </c>
      <c r="B41" s="116">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1234</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1235</v>
      </c>
      <c r="B43" s="118">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1236</v>
      </c>
      <c r="B44" s="119">
        <v>0.05</v>
      </c>
      <c r="C44" s="2794" t="s">
        <v>2300</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1237</v>
      </c>
      <c r="B45" s="117">
        <v>0.03</v>
      </c>
      <c r="C45" s="2793" t="s">
        <v>2292</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1238</v>
      </c>
      <c r="B46" s="117">
        <v>0.02</v>
      </c>
      <c r="C46" s="2793" t="s">
        <v>2293</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1239</v>
      </c>
      <c r="B47" s="120">
        <v>0</v>
      </c>
      <c r="C47" s="2796" t="s">
        <v>2301</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1240</v>
      </c>
      <c r="B48" s="121">
        <v>0.03</v>
      </c>
      <c r="C48" s="2793" t="s">
        <v>2292</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1241</v>
      </c>
      <c r="B49" s="117">
        <v>5.0000000000000001E-4</v>
      </c>
      <c r="C49" s="2793" t="s">
        <v>2294</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1242</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1243</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1244</v>
      </c>
      <c r="B52" s="124">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1245</v>
      </c>
      <c r="B53" s="1735" t="s">
        <v>29</v>
      </c>
      <c r="C53" s="2652" t="s">
        <v>1246</v>
      </c>
      <c r="D53" s="2795" t="s">
        <v>2298</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1247</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1248</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1249</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1250</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1251</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1252</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1253</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1254</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1255</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1256</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3"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3"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3"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3"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3"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3" customFormat="1">
      <c r="A69" s="1738"/>
      <c r="D69" s="1739"/>
      <c r="K69" s="728"/>
      <c r="L69" s="728"/>
    </row>
    <row r="70" spans="1:44" s="793" customFormat="1">
      <c r="A70" s="1738"/>
      <c r="D70" s="1739"/>
      <c r="K70" s="728"/>
      <c r="L70" s="728"/>
    </row>
    <row r="71" spans="1:44" s="793" customFormat="1">
      <c r="A71" s="1738"/>
      <c r="D71" s="1739"/>
      <c r="K71" s="728"/>
      <c r="L71" s="728"/>
    </row>
    <row r="72" spans="1:44" s="793" customFormat="1">
      <c r="A72" s="1738"/>
      <c r="D72" s="1739"/>
      <c r="K72" s="728"/>
      <c r="L72" s="728"/>
    </row>
    <row r="73" spans="1:44" s="793" customFormat="1">
      <c r="A73" s="1738"/>
      <c r="D73" s="1739"/>
      <c r="K73" s="728"/>
      <c r="L73" s="728"/>
    </row>
    <row r="74" spans="1:44" s="793" customFormat="1">
      <c r="A74" s="1738"/>
      <c r="D74" s="1739"/>
      <c r="K74" s="728"/>
      <c r="L74" s="728"/>
    </row>
    <row r="75" spans="1:44" s="793" customFormat="1">
      <c r="A75" s="1738"/>
      <c r="D75" s="1739"/>
      <c r="K75" s="728"/>
      <c r="L75" s="728"/>
    </row>
    <row r="76" spans="1:44" s="793" customFormat="1">
      <c r="A76" s="1738"/>
      <c r="D76" s="1739"/>
      <c r="K76" s="728"/>
      <c r="L76" s="728"/>
    </row>
    <row r="77" spans="1:44" s="793" customFormat="1">
      <c r="A77" s="1738"/>
      <c r="D77" s="1739"/>
      <c r="K77" s="728"/>
      <c r="L77" s="728"/>
    </row>
    <row r="78" spans="1:44" s="793" customFormat="1">
      <c r="A78" s="1738"/>
      <c r="D78" s="1739"/>
      <c r="K78" s="728"/>
      <c r="L78" s="728"/>
    </row>
    <row r="79" spans="1:44" s="793" customFormat="1">
      <c r="A79" s="1738"/>
      <c r="D79" s="1739"/>
      <c r="K79" s="728"/>
      <c r="L79" s="728"/>
    </row>
    <row r="80" spans="1:44" s="793" customFormat="1">
      <c r="A80" s="1738"/>
      <c r="D80" s="1739"/>
      <c r="K80" s="728"/>
      <c r="L80" s="728"/>
    </row>
    <row r="81" spans="1:12" s="793" customFormat="1">
      <c r="A81" s="1738"/>
      <c r="D81" s="1739"/>
      <c r="K81" s="728"/>
      <c r="L81" s="728"/>
    </row>
    <row r="82" spans="1:12" s="793" customFormat="1">
      <c r="A82" s="1738"/>
      <c r="D82" s="1739"/>
      <c r="K82" s="728"/>
      <c r="L82" s="728"/>
    </row>
    <row r="83" spans="1:12" s="793" customFormat="1">
      <c r="A83" s="1738"/>
      <c r="D83" s="1739"/>
      <c r="K83" s="728"/>
      <c r="L83" s="728"/>
    </row>
    <row r="84" spans="1:12" s="793" customFormat="1">
      <c r="A84" s="1738"/>
      <c r="D84" s="1739"/>
      <c r="K84" s="728"/>
      <c r="L84" s="728"/>
    </row>
    <row r="85" spans="1:12" s="793" customFormat="1">
      <c r="A85" s="1738"/>
      <c r="D85" s="1739"/>
      <c r="K85" s="728"/>
      <c r="L85" s="728"/>
    </row>
    <row r="86" spans="1:12" s="793" customFormat="1">
      <c r="A86" s="1738"/>
      <c r="D86" s="1739"/>
      <c r="K86" s="728"/>
      <c r="L86" s="728"/>
    </row>
    <row r="87" spans="1:12" s="793" customFormat="1">
      <c r="A87" s="1738"/>
      <c r="D87" s="1739"/>
      <c r="K87" s="728"/>
      <c r="L87" s="728"/>
    </row>
    <row r="88" spans="1:12" s="793" customFormat="1">
      <c r="A88" s="1738"/>
      <c r="D88" s="1739"/>
      <c r="K88" s="728"/>
      <c r="L88" s="728"/>
    </row>
    <row r="89" spans="1:12" s="793" customFormat="1">
      <c r="A89" s="1738"/>
      <c r="D89" s="1739"/>
      <c r="K89" s="728"/>
      <c r="L89" s="728"/>
    </row>
    <row r="90" spans="1:12" s="793" customFormat="1">
      <c r="A90" s="1738"/>
      <c r="D90" s="1739"/>
      <c r="K90" s="728"/>
      <c r="L90" s="728"/>
    </row>
    <row r="91" spans="1:12" s="793" customFormat="1">
      <c r="A91" s="1738"/>
      <c r="D91" s="1739"/>
      <c r="K91" s="728"/>
      <c r="L91" s="728"/>
    </row>
    <row r="92" spans="1:12" s="793" customFormat="1">
      <c r="A92" s="1738"/>
      <c r="D92" s="1739"/>
      <c r="K92" s="728"/>
      <c r="L92" s="728"/>
    </row>
    <row r="93" spans="1:12" s="793" customFormat="1">
      <c r="A93" s="1738"/>
      <c r="D93" s="1739"/>
      <c r="K93" s="728"/>
      <c r="L93" s="728"/>
    </row>
    <row r="94" spans="1:12" s="793" customFormat="1">
      <c r="A94" s="1738"/>
      <c r="D94" s="1739"/>
      <c r="K94" s="728"/>
      <c r="L94" s="728"/>
    </row>
    <row r="95" spans="1:12" s="793" customFormat="1">
      <c r="A95" s="1738"/>
      <c r="D95" s="1739"/>
      <c r="K95" s="728"/>
      <c r="L95" s="728"/>
    </row>
    <row r="96" spans="1:12" s="793" customFormat="1">
      <c r="A96" s="1738"/>
      <c r="D96" s="1739"/>
      <c r="K96" s="728"/>
      <c r="L96" s="728"/>
    </row>
    <row r="97" spans="1:12" s="793" customFormat="1">
      <c r="A97" s="1738"/>
      <c r="D97" s="1739"/>
      <c r="K97" s="728"/>
      <c r="L97" s="728"/>
    </row>
    <row r="98" spans="1:12" s="793" customFormat="1">
      <c r="A98" s="1738"/>
      <c r="D98" s="1739"/>
      <c r="K98" s="728"/>
      <c r="L98" s="728"/>
    </row>
    <row r="99" spans="1:12" s="793" customFormat="1">
      <c r="A99" s="1738"/>
      <c r="D99" s="1739"/>
      <c r="K99" s="728"/>
      <c r="L99" s="728"/>
    </row>
    <row r="100" spans="1:12" s="793" customFormat="1">
      <c r="A100" s="1738"/>
      <c r="D100" s="1739"/>
      <c r="K100" s="728"/>
      <c r="L100" s="728"/>
    </row>
    <row r="101" spans="1:12" s="793" customFormat="1">
      <c r="A101" s="1738"/>
      <c r="D101" s="1739"/>
      <c r="K101" s="728"/>
      <c r="L101" s="728"/>
    </row>
    <row r="102" spans="1:12" s="793" customFormat="1">
      <c r="A102" s="1738"/>
      <c r="D102" s="1739"/>
      <c r="K102" s="728"/>
      <c r="L102" s="728"/>
    </row>
    <row r="103" spans="1:12" s="793" customFormat="1">
      <c r="A103" s="1738"/>
      <c r="D103" s="1739"/>
      <c r="K103" s="728"/>
      <c r="L103" s="728"/>
    </row>
    <row r="104" spans="1:12" s="793" customFormat="1">
      <c r="A104" s="1738"/>
      <c r="D104" s="1739"/>
      <c r="K104" s="728"/>
      <c r="L104" s="728"/>
    </row>
    <row r="105" spans="1:12" s="793" customFormat="1">
      <c r="A105" s="1738"/>
      <c r="D105" s="1739"/>
      <c r="K105" s="728"/>
      <c r="L105" s="728"/>
    </row>
    <row r="106" spans="1:12" s="793" customFormat="1">
      <c r="A106" s="1738"/>
      <c r="D106" s="1739"/>
      <c r="K106" s="728"/>
      <c r="L106" s="728"/>
    </row>
    <row r="107" spans="1:12" s="793" customFormat="1">
      <c r="A107" s="1738"/>
      <c r="D107" s="1739"/>
      <c r="K107" s="728"/>
      <c r="L107" s="728"/>
    </row>
    <row r="108" spans="1:12" s="793" customFormat="1">
      <c r="A108" s="1738"/>
      <c r="D108" s="1739"/>
      <c r="K108" s="728"/>
      <c r="L108" s="728"/>
    </row>
    <row r="109" spans="1:12" s="793" customFormat="1">
      <c r="A109" s="1738"/>
      <c r="D109" s="1739"/>
      <c r="K109" s="728"/>
      <c r="L109" s="728"/>
    </row>
    <row r="110" spans="1:12" s="793" customFormat="1">
      <c r="A110" s="1738"/>
      <c r="D110" s="1739"/>
      <c r="K110" s="728"/>
      <c r="L110" s="728"/>
    </row>
    <row r="111" spans="1:12" s="793" customFormat="1">
      <c r="A111" s="1738"/>
      <c r="D111" s="1739"/>
      <c r="K111" s="728"/>
      <c r="L111" s="728"/>
    </row>
    <row r="112" spans="1:12" s="793" customFormat="1">
      <c r="A112" s="1738"/>
      <c r="D112" s="1739"/>
      <c r="K112" s="728"/>
      <c r="L112" s="728"/>
    </row>
    <row r="113" spans="1:12" s="793" customFormat="1">
      <c r="A113" s="1738"/>
      <c r="D113" s="1739"/>
      <c r="K113" s="728"/>
      <c r="L113" s="728"/>
    </row>
    <row r="114" spans="1:12" s="793" customFormat="1">
      <c r="A114" s="1738"/>
      <c r="D114" s="1739"/>
      <c r="K114" s="728"/>
      <c r="L114" s="728"/>
    </row>
    <row r="115" spans="1:12" s="793" customFormat="1">
      <c r="A115" s="1738"/>
      <c r="D115" s="1739"/>
      <c r="K115" s="728"/>
      <c r="L115" s="728"/>
    </row>
    <row r="116" spans="1:12" s="793" customFormat="1">
      <c r="A116" s="1738"/>
      <c r="D116" s="1739"/>
      <c r="K116" s="728"/>
      <c r="L116" s="728"/>
    </row>
    <row r="117" spans="1:12" s="793" customFormat="1">
      <c r="A117" s="1738"/>
      <c r="D117" s="1739"/>
      <c r="K117" s="728"/>
      <c r="L117" s="728"/>
    </row>
    <row r="118" spans="1:12" s="793" customFormat="1">
      <c r="A118" s="1738"/>
      <c r="D118" s="1739"/>
      <c r="K118" s="728"/>
      <c r="L118" s="728"/>
    </row>
    <row r="119" spans="1:12" s="793" customFormat="1">
      <c r="A119" s="1738"/>
      <c r="D119" s="1739"/>
      <c r="K119" s="728"/>
      <c r="L119" s="728"/>
    </row>
    <row r="120" spans="1:12" s="793" customFormat="1">
      <c r="A120" s="1738"/>
      <c r="D120" s="1739"/>
      <c r="K120" s="728"/>
      <c r="L120" s="728"/>
    </row>
    <row r="121" spans="1:12" s="793" customFormat="1">
      <c r="A121" s="1738"/>
      <c r="D121" s="1739"/>
      <c r="K121" s="728"/>
      <c r="L121" s="728"/>
    </row>
    <row r="122" spans="1:12" s="793" customFormat="1">
      <c r="A122" s="1738"/>
      <c r="D122" s="1739"/>
      <c r="K122" s="728"/>
      <c r="L122" s="728"/>
    </row>
    <row r="123" spans="1:12" s="793" customFormat="1">
      <c r="A123" s="1738"/>
      <c r="D123" s="1739"/>
      <c r="K123" s="728"/>
      <c r="L123" s="728"/>
    </row>
    <row r="124" spans="1:12" s="793" customFormat="1">
      <c r="A124" s="1738"/>
      <c r="D124" s="1739"/>
      <c r="K124" s="728"/>
      <c r="L124" s="728"/>
    </row>
    <row r="125" spans="1:12" s="793" customFormat="1">
      <c r="A125" s="1738"/>
      <c r="D125" s="1739"/>
      <c r="K125" s="728"/>
      <c r="L125" s="728"/>
    </row>
    <row r="126" spans="1:12" s="793" customFormat="1">
      <c r="A126" s="1738"/>
      <c r="D126" s="1739"/>
      <c r="K126" s="728"/>
      <c r="L126" s="728"/>
    </row>
    <row r="127" spans="1:12" s="793" customFormat="1">
      <c r="A127" s="1738"/>
      <c r="D127" s="1739"/>
      <c r="K127" s="728"/>
      <c r="L127" s="728"/>
    </row>
    <row r="128" spans="1:12" s="793" customFormat="1">
      <c r="A128" s="1738"/>
      <c r="D128" s="1739"/>
      <c r="K128" s="728"/>
      <c r="L128" s="728"/>
    </row>
    <row r="129" spans="1:12" s="793" customFormat="1">
      <c r="A129" s="1738"/>
      <c r="D129" s="1739"/>
      <c r="K129" s="728"/>
      <c r="L129" s="728"/>
    </row>
    <row r="130" spans="1:12" s="793" customFormat="1">
      <c r="A130" s="1738"/>
      <c r="D130" s="1739"/>
      <c r="K130" s="728"/>
      <c r="L130" s="728"/>
    </row>
    <row r="131" spans="1:12" s="793" customFormat="1">
      <c r="A131" s="1738"/>
      <c r="D131" s="1739"/>
      <c r="K131" s="728"/>
      <c r="L131" s="728"/>
    </row>
    <row r="132" spans="1:12" s="793" customFormat="1">
      <c r="A132" s="1738"/>
      <c r="D132" s="1739"/>
      <c r="K132" s="728"/>
      <c r="L132" s="728"/>
    </row>
    <row r="133" spans="1:12" s="793"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9" sqref="K29"/>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9"/>
    <col min="30" max="16384" width="9" style="1683"/>
  </cols>
  <sheetData>
    <row r="1" spans="1:29" s="2450" customFormat="1" ht="18.75" thickBot="1">
      <c r="A1" s="3607" t="s">
        <v>2278</v>
      </c>
      <c r="B1" s="3608"/>
      <c r="C1" s="3608"/>
      <c r="D1" s="3608"/>
      <c r="E1" s="3608"/>
      <c r="F1" s="3608"/>
      <c r="G1" s="3608"/>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2274</v>
      </c>
      <c r="D2" s="2454"/>
      <c r="E2" s="2451"/>
      <c r="F2" s="2455"/>
      <c r="G2" s="2453" t="s">
        <v>2275</v>
      </c>
      <c r="H2" s="799"/>
      <c r="I2" s="799"/>
      <c r="J2" s="799"/>
      <c r="K2" s="799"/>
      <c r="L2" s="799"/>
      <c r="M2" s="799"/>
      <c r="N2" s="799"/>
      <c r="O2" s="799"/>
      <c r="P2" s="799"/>
      <c r="Q2" s="799"/>
      <c r="R2" s="799"/>
    </row>
    <row r="3" spans="1:29" ht="25.5">
      <c r="A3" s="2434" t="s">
        <v>2276</v>
      </c>
      <c r="B3" s="2456" t="s">
        <v>2248</v>
      </c>
      <c r="C3" s="3506" t="s">
        <v>3696</v>
      </c>
      <c r="D3" s="2457"/>
      <c r="E3" s="2435" t="s">
        <v>2276</v>
      </c>
      <c r="F3" s="2458" t="s">
        <v>2249</v>
      </c>
      <c r="G3" s="2459" t="s">
        <v>2277</v>
      </c>
      <c r="H3" s="799"/>
      <c r="I3" s="799"/>
      <c r="J3" s="799"/>
      <c r="K3" s="799"/>
      <c r="L3" s="799"/>
      <c r="M3" s="799"/>
      <c r="N3" s="799"/>
      <c r="O3" s="799"/>
      <c r="P3" s="799"/>
      <c r="Q3" s="799"/>
      <c r="R3" s="799"/>
    </row>
    <row r="4" spans="1:29" ht="36">
      <c r="A4" s="2435"/>
      <c r="B4" s="323" t="s">
        <v>2250</v>
      </c>
      <c r="C4" s="2460"/>
      <c r="D4" s="2457"/>
      <c r="E4" s="2461"/>
      <c r="F4" s="1370" t="s">
        <v>2251</v>
      </c>
      <c r="G4" s="2462" t="s">
        <v>2252</v>
      </c>
      <c r="H4" s="799"/>
      <c r="I4" s="799"/>
      <c r="J4" s="799"/>
      <c r="K4" s="799"/>
      <c r="L4" s="799"/>
      <c r="M4" s="799"/>
      <c r="N4" s="799"/>
      <c r="O4" s="799"/>
      <c r="P4" s="799"/>
      <c r="Q4" s="799"/>
      <c r="R4" s="799"/>
    </row>
    <row r="5" spans="1:29" ht="24">
      <c r="A5" s="2435"/>
      <c r="B5" s="323" t="s">
        <v>2253</v>
      </c>
      <c r="C5" s="2460"/>
      <c r="D5" s="2457"/>
      <c r="E5" s="2461"/>
      <c r="F5" s="323" t="s">
        <v>2254</v>
      </c>
      <c r="G5" s="2462" t="s">
        <v>2255</v>
      </c>
      <c r="H5" s="799"/>
      <c r="I5" s="799"/>
      <c r="J5" s="799"/>
      <c r="K5" s="799"/>
      <c r="L5" s="799"/>
      <c r="M5" s="799"/>
      <c r="N5" s="799"/>
      <c r="O5" s="799"/>
      <c r="P5" s="799"/>
      <c r="Q5" s="799"/>
      <c r="R5" s="799"/>
    </row>
    <row r="6" spans="1:29">
      <c r="A6" s="2435"/>
      <c r="B6" s="323" t="s">
        <v>2256</v>
      </c>
      <c r="C6" s="3507" t="s">
        <v>3695</v>
      </c>
      <c r="D6" s="2457"/>
      <c r="E6" s="2461"/>
      <c r="F6" s="323" t="s">
        <v>2257</v>
      </c>
      <c r="G6" s="2462" t="s">
        <v>2258</v>
      </c>
      <c r="H6" s="799"/>
      <c r="I6" s="799"/>
      <c r="J6" s="799"/>
      <c r="K6" s="799"/>
      <c r="L6" s="799"/>
      <c r="M6" s="799"/>
      <c r="N6" s="799"/>
      <c r="O6" s="799"/>
      <c r="P6" s="799"/>
      <c r="Q6" s="799"/>
      <c r="R6" s="799"/>
    </row>
    <row r="7" spans="1:29" ht="24.75" thickBot="1">
      <c r="A7" s="2435"/>
      <c r="B7" s="323" t="s">
        <v>2254</v>
      </c>
      <c r="C7" s="3507" t="s">
        <v>3695</v>
      </c>
      <c r="D7" s="2463"/>
      <c r="E7" s="2464"/>
      <c r="F7" s="2465" t="s">
        <v>2259</v>
      </c>
      <c r="G7" s="2466" t="s">
        <v>2260</v>
      </c>
      <c r="H7" s="799"/>
      <c r="I7" s="799"/>
      <c r="J7" s="799"/>
      <c r="K7" s="799"/>
      <c r="L7" s="799"/>
      <c r="M7" s="799"/>
      <c r="N7" s="799"/>
      <c r="O7" s="799"/>
      <c r="P7" s="799"/>
      <c r="Q7" s="799"/>
      <c r="R7" s="799"/>
    </row>
    <row r="8" spans="1:29">
      <c r="A8" s="2435"/>
      <c r="B8" s="323" t="s">
        <v>2257</v>
      </c>
      <c r="C8" s="3507" t="s">
        <v>3698</v>
      </c>
      <c r="D8" s="2463"/>
      <c r="E8" s="2463"/>
      <c r="F8" s="2467"/>
      <c r="G8" s="2467"/>
      <c r="H8" s="799"/>
      <c r="I8" s="799"/>
      <c r="J8" s="799"/>
      <c r="K8" s="799"/>
      <c r="L8" s="799"/>
      <c r="M8" s="799"/>
      <c r="N8" s="799"/>
      <c r="O8" s="799"/>
      <c r="P8" s="799"/>
      <c r="Q8" s="799"/>
      <c r="R8" s="799"/>
    </row>
    <row r="9" spans="1:29">
      <c r="A9" s="2435"/>
      <c r="B9" s="323" t="s">
        <v>2261</v>
      </c>
      <c r="C9" s="3508" t="s">
        <v>3697</v>
      </c>
      <c r="D9" s="2457"/>
      <c r="E9" s="2463"/>
      <c r="F9" s="2467"/>
      <c r="G9" s="2467"/>
      <c r="H9" s="799"/>
      <c r="I9" s="799"/>
      <c r="J9" s="799"/>
      <c r="K9" s="799"/>
      <c r="L9" s="799"/>
      <c r="M9" s="799"/>
      <c r="N9" s="799"/>
      <c r="O9" s="799"/>
      <c r="P9" s="799"/>
      <c r="Q9" s="799"/>
      <c r="R9" s="799"/>
    </row>
    <row r="10" spans="1:29" s="2472" customFormat="1" ht="15" thickBot="1">
      <c r="A10" s="2436"/>
      <c r="B10" s="2468" t="s">
        <v>2262</v>
      </c>
      <c r="C10" s="3509" t="s">
        <v>3699</v>
      </c>
      <c r="D10" s="2457"/>
      <c r="E10" s="2457"/>
      <c r="F10" s="2467"/>
      <c r="G10" s="2467"/>
      <c r="H10" s="2469"/>
      <c r="I10" s="2470"/>
      <c r="J10" s="2471"/>
      <c r="K10" s="2469"/>
      <c r="L10" s="2470"/>
      <c r="M10" s="2471"/>
      <c r="N10" s="2469"/>
      <c r="O10" s="2470"/>
      <c r="P10" s="2471"/>
      <c r="Q10" s="2469"/>
      <c r="R10" s="2470"/>
      <c r="S10" s="799"/>
      <c r="T10" s="799"/>
      <c r="U10" s="799"/>
      <c r="V10" s="799"/>
      <c r="W10" s="799"/>
      <c r="X10" s="799"/>
      <c r="Y10" s="799"/>
      <c r="Z10" s="799"/>
      <c r="AA10" s="799"/>
      <c r="AB10" s="799"/>
      <c r="AC10" s="799"/>
    </row>
    <row r="11" spans="1:29" s="2472" customFormat="1">
      <c r="A11" s="2473"/>
      <c r="B11" s="2463"/>
      <c r="C11" s="2457"/>
      <c r="D11" s="2457"/>
      <c r="E11" s="2457"/>
      <c r="F11" s="2463"/>
      <c r="G11" s="2474"/>
      <c r="H11" s="2469"/>
      <c r="I11" s="2470"/>
      <c r="J11" s="2471"/>
      <c r="K11" s="2469"/>
      <c r="L11" s="2470"/>
      <c r="M11" s="2471"/>
      <c r="N11" s="2469"/>
      <c r="O11" s="2470"/>
      <c r="P11" s="2471"/>
      <c r="Q11" s="2469"/>
      <c r="R11" s="2470"/>
      <c r="S11" s="799"/>
      <c r="T11" s="799"/>
      <c r="U11" s="799"/>
      <c r="V11" s="799"/>
      <c r="W11" s="799"/>
      <c r="X11" s="799"/>
      <c r="Y11" s="799"/>
      <c r="Z11" s="799"/>
      <c r="AA11" s="799"/>
      <c r="AB11" s="799"/>
      <c r="AC11" s="799"/>
    </row>
    <row r="12" spans="1:29" s="2450" customFormat="1" ht="18">
      <c r="A12" s="2473"/>
      <c r="B12" s="2463"/>
      <c r="C12" s="2457"/>
      <c r="D12" s="2475"/>
      <c r="E12" s="2457"/>
      <c r="F12" s="2463"/>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2279</v>
      </c>
      <c r="B13" s="2475"/>
      <c r="C13" s="2475"/>
      <c r="D13" s="2473"/>
      <c r="E13" s="2475"/>
      <c r="F13" s="2475"/>
      <c r="G13" s="2475"/>
    </row>
    <row r="14" spans="1:29" ht="15" thickBot="1">
      <c r="A14" s="2485"/>
      <c r="B14" s="2485"/>
      <c r="C14" s="2486" t="s">
        <v>2263</v>
      </c>
      <c r="D14" s="2457"/>
      <c r="E14" s="2487"/>
      <c r="F14" s="2487"/>
      <c r="G14" s="2453" t="s">
        <v>2264</v>
      </c>
    </row>
    <row r="15" spans="1:29" ht="25.5">
      <c r="A15" s="2437" t="s">
        <v>2265</v>
      </c>
      <c r="B15" s="2488" t="s">
        <v>2248</v>
      </c>
      <c r="C15" s="2489" t="str">
        <f>C3</f>
        <v>一般</v>
      </c>
      <c r="D15" s="2457"/>
      <c r="E15" s="2438" t="s">
        <v>2266</v>
      </c>
      <c r="F15" s="2488" t="s">
        <v>2267</v>
      </c>
      <c r="G15" s="2490" t="str">
        <f>G3</f>
        <v>估价对象位于XX开发区，园区建设成熟度XX，产业集聚程度XX</v>
      </c>
    </row>
    <row r="16" spans="1:29" ht="38.25">
      <c r="A16" s="2439"/>
      <c r="B16" s="2491" t="s">
        <v>2250</v>
      </c>
      <c r="C16" s="2492">
        <f>C4</f>
        <v>0</v>
      </c>
      <c r="D16" s="2457"/>
      <c r="E16" s="2440"/>
      <c r="F16" s="2493" t="s">
        <v>2251</v>
      </c>
      <c r="G16" s="2494" t="str">
        <f>G4</f>
        <v>估价对象周边道路状况、公共交通通达情况、停车便捷程度，综合评价交通便捷度较好</v>
      </c>
    </row>
    <row r="17" spans="1:18">
      <c r="A17" s="2439"/>
      <c r="B17" s="2491" t="s">
        <v>2253</v>
      </c>
      <c r="C17" s="2492">
        <f>C5</f>
        <v>0</v>
      </c>
      <c r="D17" s="2463"/>
      <c r="E17" s="2440"/>
      <c r="F17" s="2493" t="s">
        <v>2268</v>
      </c>
      <c r="G17" s="2495"/>
    </row>
    <row r="18" spans="1:18" ht="25.5">
      <c r="A18" s="2439"/>
      <c r="B18" s="2493" t="s">
        <v>2256</v>
      </c>
      <c r="C18" s="2494" t="str">
        <f>C6</f>
        <v>较差</v>
      </c>
      <c r="D18" s="2463"/>
      <c r="E18" s="2440"/>
      <c r="F18" s="2493" t="s">
        <v>2259</v>
      </c>
      <c r="G18" s="2494" t="str">
        <f>G7</f>
        <v>该园区内是否有污染型企业，绿化情况，卫生条件，整体环境状况判断</v>
      </c>
    </row>
    <row r="19" spans="1:18" ht="25.5">
      <c r="A19" s="2439"/>
      <c r="B19" s="2493" t="s">
        <v>2269</v>
      </c>
      <c r="C19" s="2495"/>
      <c r="D19" s="2457"/>
      <c r="E19" s="2440"/>
      <c r="F19" s="323" t="s">
        <v>2254</v>
      </c>
      <c r="G19" s="2494" t="str">
        <f>G5</f>
        <v>估价对象所在区域公共配套设施齐备情况</v>
      </c>
    </row>
    <row r="20" spans="1:18">
      <c r="A20" s="2439"/>
      <c r="B20" s="2493" t="s">
        <v>2270</v>
      </c>
      <c r="C20" s="2492" t="str">
        <f>C9</f>
        <v>一般</v>
      </c>
      <c r="D20" s="2463"/>
      <c r="E20" s="2440"/>
      <c r="F20" s="323" t="s">
        <v>2257</v>
      </c>
      <c r="G20" s="2494" t="str">
        <f>G6</f>
        <v>估价对象所在区域基础设施水平</v>
      </c>
    </row>
    <row r="21" spans="1:18">
      <c r="A21" s="2439"/>
      <c r="B21" s="323" t="s">
        <v>2254</v>
      </c>
      <c r="C21" s="2494" t="str">
        <f>C7</f>
        <v>较差</v>
      </c>
      <c r="D21" s="2457"/>
      <c r="E21" s="2440"/>
      <c r="F21" s="2493" t="s">
        <v>2271</v>
      </c>
      <c r="G21" s="2496"/>
    </row>
    <row r="22" spans="1:18" ht="13.5" customHeight="1">
      <c r="A22" s="2439"/>
      <c r="B22" s="323" t="s">
        <v>2257</v>
      </c>
      <c r="C22" s="2494" t="str">
        <f>C8</f>
        <v>七通</v>
      </c>
      <c r="D22" s="2457"/>
      <c r="E22" s="2440"/>
      <c r="F22" s="2493" t="s">
        <v>2262</v>
      </c>
      <c r="G22" s="2495"/>
    </row>
    <row r="23" spans="1:18" s="799" customFormat="1" ht="15" thickBot="1">
      <c r="A23" s="2439"/>
      <c r="B23" s="2493" t="s">
        <v>2271</v>
      </c>
      <c r="C23" s="2496"/>
      <c r="D23" s="1738"/>
      <c r="E23" s="2441"/>
      <c r="F23" s="2497" t="s">
        <v>2272</v>
      </c>
      <c r="G23" s="2498"/>
      <c r="H23" s="2482"/>
      <c r="I23" s="2483"/>
      <c r="J23" s="2482"/>
      <c r="K23" s="2482"/>
      <c r="L23" s="2483"/>
      <c r="M23" s="2482"/>
      <c r="N23" s="2482"/>
      <c r="O23" s="2483"/>
      <c r="P23" s="2482"/>
      <c r="Q23" s="2482"/>
      <c r="R23" s="2484"/>
    </row>
    <row r="24" spans="1:18" s="799" customFormat="1" ht="15" thickBot="1">
      <c r="A24" s="2442"/>
      <c r="B24" s="2497" t="s">
        <v>2273</v>
      </c>
      <c r="C24" s="2499" t="str">
        <f>C10</f>
        <v>次干道</v>
      </c>
      <c r="D24" s="1738"/>
      <c r="E24" s="2432"/>
      <c r="F24" s="2432"/>
      <c r="G24" s="2500"/>
      <c r="H24" s="2482"/>
      <c r="I24" s="2483"/>
      <c r="J24" s="2482"/>
      <c r="K24" s="2482"/>
      <c r="L24" s="2483"/>
      <c r="M24" s="2482"/>
      <c r="N24" s="2482"/>
      <c r="O24" s="2483"/>
      <c r="P24" s="2482"/>
      <c r="Q24" s="2482"/>
      <c r="R24" s="2484"/>
    </row>
    <row r="25" spans="1:18" s="799" customFormat="1">
      <c r="B25" s="2482"/>
      <c r="C25" s="2482"/>
      <c r="D25" s="2482"/>
      <c r="H25" s="2482"/>
      <c r="I25" s="2483"/>
      <c r="J25" s="2482"/>
      <c r="K25" s="2482"/>
      <c r="L25" s="2483"/>
      <c r="M25" s="2482"/>
      <c r="N25" s="2482"/>
      <c r="O25" s="2483"/>
      <c r="P25" s="2482"/>
      <c r="Q25" s="2482"/>
      <c r="R25" s="2484"/>
    </row>
    <row r="26" spans="1:18" s="799" customFormat="1">
      <c r="B26" s="2482"/>
      <c r="C26" s="2482"/>
      <c r="D26" s="2482"/>
      <c r="H26" s="2482"/>
      <c r="I26" s="2483"/>
      <c r="J26" s="2482"/>
      <c r="K26" s="2482"/>
      <c r="L26" s="2483"/>
      <c r="M26" s="2482"/>
      <c r="N26" s="2482"/>
      <c r="O26" s="2483"/>
      <c r="P26" s="2482"/>
      <c r="Q26" s="2482"/>
      <c r="R26" s="2484"/>
    </row>
    <row r="27" spans="1:18" s="799" customFormat="1">
      <c r="B27" s="2482"/>
      <c r="C27" s="2482"/>
      <c r="D27" s="2482"/>
      <c r="H27" s="2482"/>
      <c r="I27" s="2483"/>
      <c r="J27" s="2482"/>
      <c r="K27" s="2482"/>
      <c r="L27" s="2483"/>
      <c r="M27" s="2482"/>
      <c r="N27" s="2482"/>
      <c r="O27" s="2483"/>
      <c r="P27" s="2482"/>
      <c r="Q27" s="2482"/>
      <c r="R27" s="2484"/>
    </row>
    <row r="28" spans="1:18" s="799" customFormat="1">
      <c r="B28" s="2482"/>
      <c r="C28" s="2482"/>
      <c r="D28" s="2482"/>
      <c r="H28" s="2482"/>
      <c r="I28" s="2483"/>
      <c r="J28" s="2482"/>
      <c r="K28" s="2482"/>
      <c r="L28" s="2483"/>
      <c r="M28" s="2482"/>
      <c r="N28" s="2482"/>
      <c r="O28" s="2483"/>
      <c r="P28" s="2482"/>
      <c r="Q28" s="2482"/>
      <c r="R28" s="2484"/>
    </row>
    <row r="29" spans="1:18" s="799" customFormat="1">
      <c r="B29" s="2482"/>
      <c r="C29" s="2482"/>
      <c r="D29" s="2482"/>
      <c r="H29" s="2482"/>
      <c r="I29" s="2483"/>
      <c r="J29" s="2482"/>
      <c r="K29" s="2482"/>
      <c r="L29" s="2483"/>
      <c r="M29" s="2482"/>
      <c r="N29" s="2482"/>
      <c r="O29" s="2483"/>
      <c r="P29" s="2482"/>
      <c r="Q29" s="2482"/>
      <c r="R29" s="2484"/>
    </row>
    <row r="30" spans="1:18" s="799" customFormat="1">
      <c r="B30" s="2482"/>
      <c r="C30" s="2482"/>
      <c r="D30" s="2482"/>
      <c r="H30" s="2482"/>
      <c r="I30" s="2483"/>
      <c r="J30" s="2482"/>
      <c r="K30" s="2482"/>
      <c r="L30" s="2483"/>
      <c r="M30" s="2482"/>
      <c r="N30" s="2482"/>
      <c r="O30" s="2483"/>
      <c r="P30" s="2482"/>
      <c r="Q30" s="2482"/>
      <c r="R30" s="2484"/>
    </row>
    <row r="31" spans="1:18" s="799" customFormat="1">
      <c r="B31" s="2482"/>
      <c r="C31" s="2482"/>
      <c r="D31" s="2482"/>
      <c r="H31" s="2482"/>
      <c r="I31" s="2483"/>
      <c r="J31" s="2482"/>
      <c r="K31" s="2482"/>
      <c r="L31" s="2483"/>
      <c r="M31" s="2482"/>
      <c r="N31" s="2482"/>
      <c r="O31" s="2483"/>
      <c r="P31" s="2482"/>
      <c r="Q31" s="2482"/>
      <c r="R31" s="2484"/>
    </row>
    <row r="32" spans="1:18" s="799" customFormat="1">
      <c r="B32" s="2482"/>
      <c r="C32" s="2482"/>
      <c r="D32" s="2482"/>
      <c r="H32" s="2482"/>
      <c r="I32" s="2483"/>
      <c r="J32" s="2482"/>
      <c r="K32" s="2482"/>
      <c r="L32" s="2483"/>
      <c r="M32" s="2482"/>
      <c r="N32" s="2482"/>
      <c r="O32" s="2483"/>
      <c r="P32" s="2482"/>
      <c r="Q32" s="2482"/>
      <c r="R32" s="2484"/>
    </row>
    <row r="33" spans="2:18" s="799" customFormat="1">
      <c r="B33" s="2482"/>
      <c r="C33" s="2482"/>
      <c r="D33" s="2482"/>
      <c r="H33" s="2482"/>
      <c r="I33" s="2483"/>
      <c r="J33" s="2482"/>
      <c r="K33" s="2482"/>
      <c r="L33" s="2483"/>
      <c r="M33" s="2482"/>
      <c r="N33" s="2482"/>
      <c r="O33" s="2483"/>
      <c r="P33" s="2482"/>
      <c r="Q33" s="2482"/>
      <c r="R33" s="2484"/>
    </row>
    <row r="34" spans="2:18" s="799" customFormat="1">
      <c r="B34" s="2482"/>
      <c r="C34" s="2482"/>
      <c r="D34" s="2482"/>
      <c r="H34" s="2482"/>
      <c r="I34" s="2483"/>
      <c r="J34" s="2482"/>
      <c r="K34" s="2482"/>
      <c r="L34" s="2483"/>
      <c r="M34" s="2482"/>
      <c r="N34" s="2482"/>
      <c r="O34" s="2483"/>
      <c r="P34" s="2482"/>
      <c r="Q34" s="2482"/>
      <c r="R34" s="2484"/>
    </row>
    <row r="35" spans="2:18" s="799" customFormat="1">
      <c r="B35" s="2482"/>
      <c r="C35" s="2482"/>
      <c r="D35" s="2482"/>
      <c r="H35" s="2482"/>
      <c r="I35" s="2483"/>
      <c r="J35" s="2482"/>
      <c r="K35" s="2482"/>
      <c r="L35" s="2483"/>
      <c r="M35" s="2482"/>
      <c r="N35" s="2482"/>
      <c r="O35" s="2483"/>
      <c r="P35" s="2482"/>
      <c r="Q35" s="2482"/>
      <c r="R35" s="2484"/>
    </row>
    <row r="36" spans="2:18" s="799" customFormat="1">
      <c r="B36" s="2482"/>
      <c r="C36" s="2482"/>
      <c r="D36" s="2482"/>
      <c r="H36" s="2482"/>
      <c r="I36" s="2483"/>
      <c r="J36" s="2482"/>
      <c r="K36" s="2482"/>
      <c r="L36" s="2483"/>
      <c r="M36" s="2482"/>
      <c r="N36" s="2482"/>
      <c r="O36" s="2483"/>
      <c r="P36" s="2482"/>
      <c r="Q36" s="2482"/>
      <c r="R36" s="2484"/>
    </row>
    <row r="37" spans="2:18" s="799" customFormat="1">
      <c r="B37" s="2482"/>
      <c r="C37" s="2482"/>
      <c r="D37" s="2482"/>
      <c r="H37" s="2482"/>
      <c r="I37" s="2483"/>
      <c r="J37" s="2482"/>
      <c r="K37" s="2482"/>
      <c r="L37" s="2483"/>
      <c r="M37" s="2482"/>
      <c r="N37" s="2482"/>
      <c r="O37" s="2483"/>
      <c r="P37" s="2482"/>
      <c r="Q37" s="2482"/>
      <c r="R37" s="2484"/>
    </row>
    <row r="38" spans="2:18" s="799" customFormat="1">
      <c r="B38" s="2482"/>
      <c r="C38" s="2482"/>
      <c r="D38" s="2482"/>
      <c r="E38" s="2482"/>
      <c r="F38" s="2482"/>
      <c r="G38" s="2483"/>
      <c r="H38" s="2482"/>
      <c r="I38" s="2483"/>
      <c r="J38" s="2482"/>
      <c r="K38" s="2482"/>
      <c r="L38" s="2483"/>
      <c r="M38" s="2482"/>
      <c r="N38" s="2482"/>
      <c r="O38" s="2483"/>
      <c r="P38" s="2482"/>
      <c r="Q38" s="2482"/>
      <c r="R38" s="2484"/>
    </row>
    <row r="39" spans="2:18" s="799" customFormat="1">
      <c r="B39" s="2482"/>
      <c r="C39" s="2482"/>
      <c r="D39" s="2482"/>
      <c r="E39" s="2482"/>
      <c r="F39" s="2482"/>
      <c r="G39" s="2483"/>
      <c r="H39" s="2482"/>
      <c r="I39" s="2483"/>
      <c r="J39" s="2482"/>
      <c r="K39" s="2482"/>
      <c r="L39" s="2483"/>
      <c r="M39" s="2482"/>
      <c r="N39" s="2482"/>
      <c r="O39" s="2483"/>
      <c r="P39" s="2482"/>
      <c r="Q39" s="2482"/>
      <c r="R39" s="2484"/>
    </row>
    <row r="40" spans="2:18" s="799" customFormat="1">
      <c r="B40" s="2482"/>
      <c r="C40" s="2482"/>
      <c r="D40" s="2482"/>
      <c r="E40" s="2482"/>
      <c r="F40" s="2482"/>
      <c r="G40" s="2483"/>
      <c r="H40" s="2482"/>
      <c r="I40" s="2483"/>
      <c r="J40" s="2482"/>
      <c r="K40" s="2482"/>
      <c r="L40" s="2483"/>
      <c r="M40" s="2482"/>
      <c r="N40" s="2482"/>
      <c r="O40" s="2483"/>
      <c r="P40" s="2482"/>
      <c r="Q40" s="2482"/>
      <c r="R40" s="2484"/>
    </row>
    <row r="41" spans="2:18" s="799" customFormat="1">
      <c r="B41" s="2482"/>
      <c r="C41" s="2482"/>
      <c r="D41" s="2482"/>
      <c r="E41" s="2482"/>
      <c r="F41" s="2482"/>
      <c r="G41" s="2483"/>
      <c r="H41" s="2482"/>
      <c r="I41" s="2483"/>
      <c r="J41" s="2482"/>
      <c r="K41" s="2482"/>
      <c r="L41" s="2483"/>
      <c r="M41" s="2482"/>
      <c r="N41" s="2482"/>
      <c r="O41" s="2483"/>
      <c r="P41" s="2482"/>
      <c r="Q41" s="2482"/>
      <c r="R41" s="2484"/>
    </row>
    <row r="42" spans="2:18" s="799" customFormat="1">
      <c r="B42" s="2482"/>
      <c r="C42" s="2482"/>
      <c r="D42" s="2482"/>
      <c r="E42" s="2482"/>
      <c r="F42" s="2482"/>
      <c r="G42" s="2483"/>
      <c r="H42" s="2482"/>
      <c r="I42" s="2483"/>
      <c r="J42" s="2482"/>
      <c r="K42" s="2482"/>
      <c r="L42" s="2483"/>
      <c r="M42" s="2482"/>
      <c r="N42" s="2482"/>
      <c r="O42" s="2483"/>
      <c r="P42" s="2482"/>
      <c r="Q42" s="2482"/>
      <c r="R42" s="2484"/>
    </row>
    <row r="43" spans="2:18" s="799" customFormat="1">
      <c r="B43" s="2482"/>
      <c r="C43" s="2482"/>
      <c r="D43" s="2482"/>
      <c r="E43" s="2482"/>
      <c r="F43" s="2482"/>
      <c r="G43" s="2483"/>
      <c r="H43" s="2482"/>
      <c r="I43" s="2483"/>
      <c r="J43" s="2482"/>
      <c r="K43" s="2482"/>
      <c r="L43" s="2483"/>
      <c r="M43" s="2482"/>
      <c r="N43" s="2482"/>
      <c r="O43" s="2483"/>
      <c r="P43" s="2482"/>
      <c r="Q43" s="2482"/>
      <c r="R43" s="2484"/>
    </row>
    <row r="44" spans="2:18" s="799" customFormat="1">
      <c r="B44" s="2482"/>
      <c r="C44" s="2482"/>
      <c r="D44" s="2482"/>
      <c r="E44" s="2482"/>
      <c r="F44" s="2482"/>
      <c r="G44" s="2483"/>
      <c r="H44" s="2482"/>
      <c r="I44" s="2483"/>
      <c r="J44" s="2482"/>
      <c r="K44" s="2482"/>
      <c r="L44" s="2483"/>
      <c r="M44" s="2482"/>
      <c r="N44" s="2482"/>
      <c r="O44" s="2483"/>
      <c r="P44" s="2482"/>
      <c r="Q44" s="2482"/>
      <c r="R44" s="2484"/>
    </row>
    <row r="45" spans="2:18" s="799" customFormat="1">
      <c r="B45" s="2482"/>
      <c r="C45" s="2482"/>
      <c r="D45" s="2482"/>
      <c r="E45" s="2482"/>
      <c r="F45" s="2482"/>
      <c r="G45" s="2483"/>
      <c r="H45" s="2482"/>
      <c r="I45" s="2483"/>
      <c r="J45" s="2482"/>
      <c r="K45" s="2482"/>
      <c r="L45" s="2483"/>
      <c r="M45" s="2482"/>
      <c r="N45" s="2482"/>
      <c r="O45" s="2483"/>
      <c r="P45" s="2482"/>
      <c r="Q45" s="2482"/>
      <c r="R45" s="2484"/>
    </row>
    <row r="46" spans="2:18" s="799" customFormat="1">
      <c r="B46" s="2482"/>
      <c r="C46" s="2482"/>
      <c r="D46" s="2482"/>
      <c r="E46" s="2482"/>
      <c r="F46" s="2482"/>
      <c r="G46" s="2483"/>
      <c r="H46" s="2482"/>
      <c r="I46" s="2483"/>
      <c r="J46" s="2482"/>
      <c r="K46" s="2482"/>
      <c r="L46" s="2483"/>
      <c r="M46" s="2482"/>
      <c r="N46" s="2482"/>
      <c r="O46" s="2483"/>
      <c r="P46" s="2482"/>
      <c r="Q46" s="2482"/>
      <c r="R46" s="2484"/>
    </row>
    <row r="47" spans="2:18" s="799" customFormat="1">
      <c r="B47" s="2482"/>
      <c r="C47" s="2482"/>
      <c r="D47" s="2482"/>
      <c r="E47" s="2482"/>
      <c r="F47" s="2482"/>
      <c r="G47" s="2483"/>
      <c r="H47" s="2482"/>
      <c r="I47" s="2483"/>
      <c r="J47" s="2482"/>
      <c r="K47" s="2482"/>
      <c r="L47" s="2483"/>
      <c r="M47" s="2482"/>
      <c r="N47" s="2482"/>
      <c r="O47" s="2483"/>
      <c r="P47" s="2482"/>
      <c r="Q47" s="2482"/>
      <c r="R47" s="2484"/>
    </row>
    <row r="48" spans="2:18" s="799" customFormat="1">
      <c r="B48" s="2482"/>
      <c r="C48" s="2482"/>
      <c r="D48" s="2482"/>
      <c r="E48" s="2482"/>
      <c r="F48" s="2482"/>
      <c r="G48" s="2483"/>
      <c r="H48" s="2482"/>
      <c r="I48" s="2483"/>
      <c r="J48" s="2482"/>
      <c r="K48" s="2482"/>
      <c r="L48" s="2483"/>
      <c r="M48" s="2482"/>
      <c r="N48" s="2482"/>
      <c r="O48" s="2483"/>
      <c r="P48" s="2482"/>
      <c r="Q48" s="2482"/>
      <c r="R48" s="2484"/>
    </row>
    <row r="49" spans="2:18" s="799" customFormat="1">
      <c r="B49" s="2482"/>
      <c r="C49" s="2482"/>
      <c r="D49" s="2482"/>
      <c r="E49" s="2482"/>
      <c r="F49" s="2482"/>
      <c r="G49" s="2483"/>
      <c r="H49" s="2482"/>
      <c r="I49" s="2483"/>
      <c r="J49" s="2482"/>
      <c r="K49" s="2482"/>
      <c r="L49" s="2483"/>
      <c r="M49" s="2482"/>
      <c r="N49" s="2482"/>
      <c r="O49" s="2483"/>
      <c r="P49" s="2482"/>
      <c r="Q49" s="2482"/>
      <c r="R49" s="2484"/>
    </row>
    <row r="50" spans="2:18" s="799" customFormat="1">
      <c r="B50" s="2482"/>
      <c r="C50" s="2482"/>
      <c r="D50" s="2482"/>
      <c r="E50" s="2482"/>
      <c r="F50" s="2482"/>
      <c r="G50" s="2483"/>
      <c r="H50" s="2482"/>
      <c r="I50" s="2483"/>
      <c r="J50" s="2482"/>
      <c r="K50" s="2482"/>
      <c r="L50" s="2483"/>
      <c r="M50" s="2482"/>
      <c r="N50" s="2482"/>
      <c r="O50" s="2483"/>
      <c r="P50" s="2482"/>
      <c r="Q50" s="2482"/>
      <c r="R50" s="2484"/>
    </row>
    <row r="51" spans="2:18" s="799" customFormat="1">
      <c r="B51" s="2482"/>
      <c r="C51" s="2482"/>
      <c r="D51" s="2482"/>
      <c r="E51" s="2482"/>
      <c r="F51" s="2482"/>
      <c r="G51" s="2483"/>
      <c r="H51" s="2482"/>
      <c r="I51" s="2483"/>
      <c r="J51" s="2482"/>
      <c r="K51" s="2482"/>
      <c r="L51" s="2483"/>
      <c r="M51" s="2482"/>
      <c r="N51" s="2482"/>
      <c r="O51" s="2483"/>
      <c r="P51" s="2482"/>
      <c r="Q51" s="2482"/>
      <c r="R51" s="2484"/>
    </row>
    <row r="52" spans="2:18" s="799" customFormat="1">
      <c r="B52" s="2482"/>
      <c r="C52" s="2482"/>
      <c r="D52" s="2482"/>
      <c r="E52" s="2482"/>
      <c r="F52" s="2482"/>
      <c r="G52" s="2483"/>
      <c r="H52" s="2482"/>
      <c r="I52" s="2483"/>
      <c r="J52" s="2482"/>
      <c r="K52" s="2482"/>
      <c r="L52" s="2483"/>
      <c r="M52" s="2482"/>
      <c r="N52" s="2482"/>
      <c r="O52" s="2483"/>
      <c r="P52" s="2482"/>
      <c r="Q52" s="2482"/>
      <c r="R52" s="2484"/>
    </row>
    <row r="53" spans="2:18" s="799" customFormat="1">
      <c r="B53" s="2482"/>
      <c r="C53" s="2482"/>
      <c r="D53" s="2482"/>
      <c r="E53" s="2482"/>
      <c r="F53" s="2482"/>
      <c r="G53" s="2483"/>
      <c r="H53" s="2482"/>
      <c r="I53" s="2483"/>
      <c r="J53" s="2482"/>
      <c r="K53" s="2482"/>
      <c r="L53" s="2483"/>
      <c r="M53" s="2482"/>
      <c r="N53" s="2482"/>
      <c r="O53" s="2483"/>
      <c r="P53" s="2482"/>
      <c r="Q53" s="2482"/>
      <c r="R53" s="2484"/>
    </row>
    <row r="54" spans="2:18" s="799" customFormat="1">
      <c r="B54" s="2482"/>
      <c r="C54" s="2482"/>
      <c r="D54" s="2482"/>
      <c r="E54" s="2482"/>
      <c r="F54" s="2482"/>
      <c r="G54" s="2483"/>
      <c r="H54" s="2482"/>
      <c r="I54" s="2483"/>
      <c r="J54" s="2482"/>
      <c r="K54" s="2482"/>
      <c r="L54" s="2483"/>
      <c r="M54" s="2482"/>
      <c r="N54" s="2482"/>
      <c r="O54" s="2483"/>
      <c r="P54" s="2482"/>
      <c r="Q54" s="2482"/>
      <c r="R54" s="2484"/>
    </row>
    <row r="55" spans="2:18" s="799" customFormat="1">
      <c r="B55" s="2482"/>
      <c r="C55" s="2482"/>
      <c r="D55" s="2482"/>
      <c r="E55" s="2482"/>
      <c r="F55" s="2482"/>
      <c r="G55" s="2483"/>
      <c r="H55" s="2482"/>
      <c r="I55" s="2483"/>
      <c r="J55" s="2482"/>
      <c r="K55" s="2482"/>
      <c r="L55" s="2483"/>
      <c r="M55" s="2482"/>
      <c r="N55" s="2482"/>
      <c r="O55" s="2483"/>
      <c r="P55" s="2482"/>
      <c r="Q55" s="2482"/>
      <c r="R55" s="2484"/>
    </row>
    <row r="56" spans="2:18" s="799" customFormat="1">
      <c r="B56" s="2482"/>
      <c r="C56" s="2482"/>
      <c r="D56" s="2482"/>
      <c r="E56" s="2482"/>
      <c r="F56" s="2482"/>
      <c r="G56" s="2483"/>
      <c r="H56" s="2482"/>
      <c r="I56" s="2483"/>
      <c r="J56" s="2482"/>
      <c r="K56" s="2482"/>
      <c r="L56" s="2483"/>
      <c r="M56" s="2482"/>
      <c r="N56" s="2482"/>
      <c r="O56" s="2483"/>
      <c r="P56" s="2482"/>
      <c r="Q56" s="2482"/>
      <c r="R56" s="2484"/>
    </row>
    <row r="57" spans="2:18" s="799" customFormat="1">
      <c r="B57" s="2482"/>
      <c r="C57" s="2482"/>
      <c r="D57" s="2482"/>
      <c r="E57" s="2482"/>
      <c r="F57" s="2482"/>
      <c r="G57" s="2483"/>
      <c r="H57" s="2482"/>
      <c r="I57" s="2483"/>
      <c r="J57" s="2482"/>
      <c r="K57" s="2482"/>
      <c r="L57" s="2483"/>
      <c r="M57" s="2482"/>
      <c r="N57" s="2482"/>
      <c r="O57" s="2483"/>
      <c r="P57" s="2482"/>
      <c r="Q57" s="2482"/>
      <c r="R57" s="2484"/>
    </row>
    <row r="58" spans="2:18" s="799" customFormat="1">
      <c r="B58" s="2482"/>
      <c r="C58" s="2482"/>
      <c r="D58" s="2482"/>
      <c r="E58" s="2482"/>
      <c r="F58" s="2482"/>
      <c r="G58" s="2483"/>
      <c r="H58" s="2482"/>
      <c r="I58" s="2483"/>
      <c r="J58" s="2482"/>
      <c r="K58" s="2482"/>
      <c r="L58" s="2483"/>
      <c r="M58" s="2482"/>
      <c r="N58" s="2482"/>
      <c r="O58" s="2483"/>
      <c r="P58" s="2482"/>
      <c r="Q58" s="2482"/>
      <c r="R58" s="2484"/>
    </row>
    <row r="59" spans="2:18" s="799" customFormat="1">
      <c r="B59" s="2482"/>
      <c r="C59" s="2482"/>
      <c r="D59" s="2482"/>
      <c r="E59" s="2482"/>
      <c r="F59" s="2482"/>
      <c r="G59" s="2483"/>
      <c r="H59" s="2482"/>
      <c r="I59" s="2483"/>
      <c r="J59" s="2482"/>
      <c r="K59" s="2482"/>
      <c r="L59" s="2483"/>
      <c r="M59" s="2482"/>
      <c r="N59" s="2482"/>
      <c r="O59" s="2483"/>
      <c r="P59" s="2482"/>
      <c r="Q59" s="2482"/>
      <c r="R59" s="2484"/>
    </row>
    <row r="60" spans="2:18" s="799" customFormat="1">
      <c r="B60" s="2482"/>
      <c r="C60" s="2482"/>
      <c r="D60" s="2482"/>
      <c r="E60" s="2482"/>
      <c r="F60" s="2482"/>
      <c r="G60" s="2483"/>
      <c r="H60" s="2482"/>
      <c r="I60" s="2483"/>
      <c r="J60" s="2482"/>
      <c r="K60" s="2482"/>
      <c r="L60" s="2483"/>
      <c r="M60" s="2482"/>
      <c r="N60" s="2482"/>
      <c r="O60" s="2483"/>
      <c r="P60" s="2482"/>
      <c r="Q60" s="2482"/>
      <c r="R60" s="2484"/>
    </row>
    <row r="61" spans="2:18" s="799" customFormat="1">
      <c r="B61" s="2482"/>
      <c r="C61" s="2482"/>
      <c r="D61" s="2482"/>
      <c r="E61" s="2482"/>
      <c r="F61" s="2482"/>
      <c r="G61" s="2483"/>
      <c r="H61" s="2482"/>
      <c r="I61" s="2483"/>
      <c r="J61" s="2482"/>
      <c r="K61" s="2482"/>
      <c r="L61" s="2483"/>
      <c r="M61" s="2482"/>
      <c r="N61" s="2482"/>
      <c r="O61" s="2483"/>
      <c r="P61" s="2482"/>
      <c r="Q61" s="2482"/>
      <c r="R61" s="2484"/>
    </row>
    <row r="62" spans="2:18" s="799" customFormat="1">
      <c r="B62" s="2482"/>
      <c r="C62" s="2482"/>
      <c r="D62" s="2482"/>
      <c r="E62" s="2482"/>
      <c r="F62" s="2482"/>
      <c r="G62" s="2483"/>
      <c r="H62" s="2482"/>
      <c r="I62" s="2483"/>
      <c r="J62" s="2482"/>
      <c r="K62" s="2482"/>
      <c r="L62" s="2483"/>
      <c r="M62" s="2482"/>
      <c r="N62" s="2482"/>
      <c r="O62" s="2483"/>
      <c r="P62" s="2482"/>
      <c r="Q62" s="2482"/>
      <c r="R62" s="2484"/>
    </row>
    <row r="63" spans="2:18" s="799" customFormat="1">
      <c r="B63" s="2482"/>
      <c r="C63" s="2482"/>
      <c r="D63" s="2482"/>
      <c r="E63" s="2482"/>
      <c r="F63" s="2482"/>
      <c r="G63" s="2483"/>
      <c r="H63" s="2482"/>
      <c r="I63" s="2483"/>
      <c r="J63" s="2482"/>
      <c r="K63" s="2482"/>
      <c r="L63" s="2483"/>
      <c r="M63" s="2482"/>
      <c r="N63" s="2482"/>
      <c r="O63" s="2483"/>
      <c r="P63" s="2482"/>
      <c r="Q63" s="2482"/>
      <c r="R63" s="2484"/>
    </row>
    <row r="64" spans="2:18" s="799" customFormat="1">
      <c r="B64" s="2482"/>
      <c r="C64" s="2482"/>
      <c r="D64" s="2482"/>
      <c r="E64" s="2482"/>
      <c r="F64" s="2482"/>
      <c r="G64" s="2483"/>
      <c r="H64" s="2482"/>
      <c r="I64" s="2483"/>
      <c r="J64" s="2482"/>
      <c r="K64" s="2482"/>
      <c r="L64" s="2483"/>
      <c r="M64" s="2482"/>
      <c r="N64" s="2482"/>
      <c r="O64" s="2483"/>
      <c r="P64" s="2482"/>
      <c r="Q64" s="2482"/>
      <c r="R64" s="2484"/>
    </row>
    <row r="65" spans="2:18" s="799" customFormat="1">
      <c r="B65" s="2482"/>
      <c r="C65" s="2482"/>
      <c r="D65" s="2482"/>
      <c r="E65" s="2482"/>
      <c r="F65" s="2482"/>
      <c r="G65" s="2483"/>
      <c r="H65" s="2482"/>
      <c r="I65" s="2483"/>
      <c r="J65" s="2482"/>
      <c r="K65" s="2482"/>
      <c r="L65" s="2483"/>
      <c r="M65" s="2482"/>
      <c r="N65" s="2482"/>
      <c r="O65" s="2483"/>
      <c r="P65" s="2482"/>
      <c r="Q65" s="2482"/>
      <c r="R65" s="2484"/>
    </row>
    <row r="66" spans="2:18" s="799" customFormat="1">
      <c r="B66" s="2482"/>
      <c r="C66" s="2482"/>
      <c r="D66" s="2482"/>
      <c r="E66" s="2482"/>
      <c r="F66" s="2482"/>
      <c r="G66" s="2483"/>
      <c r="H66" s="2482"/>
      <c r="I66" s="2483"/>
      <c r="J66" s="2482"/>
      <c r="K66" s="2482"/>
      <c r="L66" s="2483"/>
      <c r="M66" s="2482"/>
      <c r="N66" s="2482"/>
      <c r="O66" s="2483"/>
      <c r="P66" s="2482"/>
      <c r="Q66" s="2482"/>
      <c r="R66" s="2484"/>
    </row>
    <row r="67" spans="2:18" s="799" customFormat="1">
      <c r="B67" s="2482"/>
      <c r="C67" s="2482"/>
      <c r="D67" s="2482"/>
      <c r="E67" s="2482"/>
      <c r="F67" s="2482"/>
      <c r="G67" s="2483"/>
      <c r="H67" s="2482"/>
      <c r="I67" s="2483"/>
      <c r="J67" s="2482"/>
      <c r="K67" s="2482"/>
      <c r="L67" s="2483"/>
      <c r="M67" s="2482"/>
      <c r="N67" s="2482"/>
      <c r="O67" s="2483"/>
      <c r="P67" s="2482"/>
      <c r="Q67" s="2482"/>
      <c r="R67" s="2484"/>
    </row>
    <row r="68" spans="2:18" s="799" customFormat="1">
      <c r="B68" s="2482"/>
      <c r="C68" s="2482"/>
      <c r="D68" s="2482"/>
      <c r="E68" s="2482"/>
      <c r="F68" s="2482"/>
      <c r="G68" s="2483"/>
      <c r="H68" s="2482"/>
      <c r="I68" s="2483"/>
      <c r="J68" s="2482"/>
      <c r="K68" s="2482"/>
      <c r="L68" s="2483"/>
      <c r="M68" s="2482"/>
      <c r="N68" s="2482"/>
      <c r="O68" s="2483"/>
      <c r="P68" s="2482"/>
      <c r="Q68" s="2482"/>
      <c r="R68" s="2484"/>
    </row>
    <row r="69" spans="2:18" s="799" customFormat="1">
      <c r="B69" s="2482"/>
      <c r="C69" s="2482"/>
      <c r="D69" s="2482"/>
      <c r="E69" s="2482"/>
      <c r="F69" s="2482"/>
      <c r="G69" s="2483"/>
      <c r="H69" s="2482"/>
      <c r="I69" s="2483"/>
      <c r="J69" s="2482"/>
      <c r="K69" s="2482"/>
      <c r="L69" s="2483"/>
      <c r="M69" s="2482"/>
      <c r="N69" s="2482"/>
      <c r="O69" s="2483"/>
      <c r="P69" s="2482"/>
      <c r="Q69" s="2482"/>
      <c r="R69" s="2484"/>
    </row>
    <row r="70" spans="2:18" s="799" customFormat="1">
      <c r="B70" s="2482"/>
      <c r="C70" s="2482"/>
      <c r="D70" s="2482"/>
      <c r="E70" s="2482"/>
      <c r="F70" s="2482"/>
      <c r="G70" s="2483"/>
      <c r="H70" s="2482"/>
      <c r="I70" s="2483"/>
      <c r="J70" s="2482"/>
      <c r="K70" s="2482"/>
      <c r="L70" s="2483"/>
      <c r="M70" s="2482"/>
      <c r="N70" s="2482"/>
      <c r="O70" s="2483"/>
      <c r="P70" s="2482"/>
      <c r="Q70" s="2482"/>
      <c r="R70" s="2484"/>
    </row>
    <row r="71" spans="2:18" s="799" customFormat="1">
      <c r="B71" s="2482"/>
      <c r="C71" s="2482"/>
      <c r="D71" s="2482"/>
      <c r="E71" s="2482"/>
      <c r="F71" s="2482"/>
      <c r="G71" s="2483"/>
      <c r="H71" s="2482"/>
      <c r="I71" s="2483"/>
      <c r="J71" s="2482"/>
      <c r="K71" s="2482"/>
      <c r="L71" s="2483"/>
      <c r="M71" s="2482"/>
      <c r="N71" s="2482"/>
      <c r="O71" s="2483"/>
      <c r="P71" s="2482"/>
      <c r="Q71" s="2482"/>
      <c r="R71" s="2484"/>
    </row>
    <row r="72" spans="2:18" s="799" customFormat="1">
      <c r="B72" s="2482"/>
      <c r="C72" s="2482"/>
      <c r="D72" s="2482"/>
      <c r="E72" s="2482"/>
      <c r="F72" s="2482"/>
      <c r="G72" s="2483"/>
      <c r="H72" s="2482"/>
      <c r="I72" s="2483"/>
      <c r="J72" s="2482"/>
      <c r="K72" s="2482"/>
      <c r="L72" s="2483"/>
      <c r="M72" s="2482"/>
      <c r="N72" s="2482"/>
      <c r="O72" s="2483"/>
      <c r="P72" s="2482"/>
      <c r="Q72" s="2482"/>
      <c r="R72" s="2484"/>
    </row>
    <row r="73" spans="2:18" s="799" customFormat="1">
      <c r="B73" s="2482"/>
      <c r="C73" s="2482"/>
      <c r="D73" s="2482"/>
      <c r="E73" s="2482"/>
      <c r="F73" s="2482"/>
      <c r="G73" s="2483"/>
      <c r="H73" s="2482"/>
      <c r="I73" s="2483"/>
      <c r="J73" s="2482"/>
      <c r="K73" s="2482"/>
      <c r="L73" s="2483"/>
      <c r="M73" s="2482"/>
      <c r="N73" s="2482"/>
      <c r="O73" s="2483"/>
      <c r="P73" s="2482"/>
      <c r="Q73" s="2482"/>
      <c r="R73" s="2484"/>
    </row>
    <row r="74" spans="2:18" s="799" customFormat="1">
      <c r="B74" s="2482"/>
      <c r="C74" s="2482"/>
      <c r="D74" s="2482"/>
      <c r="E74" s="2482"/>
      <c r="F74" s="2482"/>
      <c r="G74" s="2483"/>
      <c r="H74" s="2482"/>
      <c r="I74" s="2483"/>
      <c r="J74" s="2482"/>
      <c r="K74" s="2482"/>
      <c r="L74" s="2483"/>
      <c r="M74" s="2482"/>
      <c r="N74" s="2482"/>
      <c r="O74" s="2483"/>
      <c r="P74" s="2482"/>
      <c r="Q74" s="2482"/>
      <c r="R74" s="2484"/>
    </row>
    <row r="75" spans="2:18" s="799" customFormat="1">
      <c r="B75" s="2482"/>
      <c r="C75" s="2482"/>
      <c r="D75" s="2482"/>
      <c r="E75" s="2482"/>
      <c r="F75" s="2482"/>
      <c r="G75" s="2483"/>
      <c r="H75" s="2482"/>
      <c r="I75" s="2483"/>
      <c r="J75" s="2482"/>
      <c r="K75" s="2482"/>
      <c r="L75" s="2483"/>
      <c r="M75" s="2482"/>
      <c r="N75" s="2482"/>
      <c r="O75" s="2483"/>
      <c r="P75" s="2482"/>
      <c r="Q75" s="2482"/>
      <c r="R75" s="2484"/>
    </row>
    <row r="76" spans="2:18" s="799" customFormat="1">
      <c r="B76" s="2482"/>
      <c r="C76" s="2482"/>
      <c r="D76" s="2482"/>
      <c r="E76" s="2482"/>
      <c r="F76" s="2482"/>
      <c r="G76" s="2483"/>
      <c r="H76" s="2482"/>
      <c r="I76" s="2483"/>
      <c r="J76" s="2482"/>
      <c r="K76" s="2482"/>
      <c r="L76" s="2483"/>
      <c r="M76" s="2482"/>
      <c r="N76" s="2482"/>
      <c r="O76" s="2483"/>
      <c r="P76" s="2482"/>
      <c r="Q76" s="2482"/>
      <c r="R76" s="2484"/>
    </row>
    <row r="77" spans="2:18" s="799" customFormat="1">
      <c r="B77" s="2482"/>
      <c r="C77" s="2482"/>
      <c r="D77" s="2482"/>
      <c r="E77" s="2482"/>
      <c r="F77" s="2482"/>
      <c r="G77" s="2483"/>
      <c r="H77" s="2482"/>
      <c r="I77" s="2483"/>
      <c r="J77" s="2482"/>
      <c r="K77" s="2482"/>
      <c r="L77" s="2483"/>
      <c r="M77" s="2482"/>
      <c r="N77" s="2482"/>
      <c r="O77" s="2483"/>
      <c r="P77" s="2482"/>
      <c r="Q77" s="2482"/>
      <c r="R77" s="2484"/>
    </row>
    <row r="78" spans="2:18" s="799" customFormat="1">
      <c r="B78" s="2482"/>
      <c r="C78" s="2482"/>
      <c r="D78" s="2482"/>
      <c r="E78" s="2482"/>
      <c r="F78" s="2482"/>
      <c r="G78" s="2483"/>
      <c r="H78" s="2482"/>
      <c r="I78" s="2483"/>
      <c r="J78" s="2482"/>
      <c r="K78" s="2482"/>
      <c r="L78" s="2483"/>
      <c r="M78" s="2482"/>
      <c r="N78" s="2482"/>
      <c r="O78" s="2483"/>
      <c r="P78" s="2482"/>
      <c r="Q78" s="2482"/>
      <c r="R78" s="2484"/>
    </row>
    <row r="79" spans="2:18" s="799" customFormat="1">
      <c r="B79" s="2482"/>
      <c r="C79" s="2482"/>
      <c r="D79" s="2482"/>
      <c r="E79" s="2482"/>
      <c r="F79" s="2482"/>
      <c r="G79" s="2483"/>
      <c r="H79" s="2482"/>
      <c r="I79" s="2483"/>
      <c r="J79" s="2482"/>
      <c r="K79" s="2482"/>
      <c r="L79" s="2483"/>
      <c r="M79" s="2482"/>
      <c r="N79" s="2482"/>
      <c r="O79" s="2483"/>
      <c r="P79" s="2482"/>
      <c r="Q79" s="2482"/>
      <c r="R79" s="2484"/>
    </row>
    <row r="80" spans="2:18" s="799" customFormat="1">
      <c r="B80" s="2482"/>
      <c r="C80" s="2482"/>
      <c r="D80" s="2482"/>
      <c r="E80" s="2482"/>
      <c r="F80" s="2482"/>
      <c r="G80" s="2483"/>
      <c r="H80" s="2482"/>
      <c r="I80" s="2483"/>
      <c r="J80" s="2482"/>
      <c r="K80" s="2482"/>
      <c r="L80" s="2483"/>
      <c r="M80" s="2482"/>
      <c r="N80" s="2482"/>
      <c r="O80" s="2483"/>
      <c r="P80" s="2482"/>
      <c r="Q80" s="2482"/>
      <c r="R80" s="2484"/>
    </row>
    <row r="81" spans="2:18" s="799" customFormat="1">
      <c r="B81" s="2482"/>
      <c r="C81" s="2482"/>
      <c r="D81" s="2482"/>
      <c r="E81" s="2482"/>
      <c r="F81" s="2482"/>
      <c r="G81" s="2483"/>
      <c r="H81" s="2482"/>
      <c r="I81" s="2483"/>
      <c r="J81" s="2482"/>
      <c r="K81" s="2482"/>
      <c r="L81" s="2483"/>
      <c r="M81" s="2482"/>
      <c r="N81" s="2482"/>
      <c r="O81" s="2483"/>
      <c r="P81" s="2482"/>
      <c r="Q81" s="2482"/>
      <c r="R81" s="2484"/>
    </row>
    <row r="82" spans="2:18" s="799" customFormat="1">
      <c r="B82" s="2482"/>
      <c r="C82" s="2482"/>
      <c r="D82" s="2482"/>
      <c r="E82" s="2482"/>
      <c r="F82" s="2482"/>
      <c r="G82" s="2483"/>
      <c r="H82" s="2482"/>
      <c r="I82" s="2483"/>
      <c r="J82" s="2482"/>
      <c r="K82" s="2482"/>
      <c r="L82" s="2483"/>
      <c r="M82" s="2482"/>
      <c r="N82" s="2482"/>
      <c r="O82" s="2483"/>
      <c r="P82" s="2482"/>
      <c r="Q82" s="2482"/>
      <c r="R82" s="2484"/>
    </row>
    <row r="83" spans="2:18" s="799" customFormat="1">
      <c r="B83" s="2482"/>
      <c r="C83" s="2482"/>
      <c r="D83" s="2482"/>
      <c r="E83" s="2482"/>
      <c r="F83" s="2482"/>
      <c r="G83" s="2483"/>
      <c r="H83" s="2482"/>
      <c r="I83" s="2483"/>
      <c r="J83" s="2482"/>
      <c r="K83" s="2482"/>
      <c r="L83" s="2483"/>
      <c r="M83" s="2482"/>
      <c r="N83" s="2482"/>
      <c r="O83" s="2483"/>
      <c r="P83" s="2482"/>
      <c r="Q83" s="2482"/>
      <c r="R83" s="2484"/>
    </row>
    <row r="84" spans="2:18" s="799" customFormat="1">
      <c r="B84" s="2482"/>
      <c r="C84" s="2482"/>
      <c r="D84" s="2482"/>
      <c r="E84" s="2482"/>
      <c r="F84" s="2482"/>
      <c r="G84" s="2483"/>
      <c r="H84" s="2482"/>
      <c r="I84" s="2483"/>
      <c r="J84" s="2482"/>
      <c r="K84" s="2482"/>
      <c r="L84" s="2483"/>
      <c r="M84" s="2482"/>
      <c r="N84" s="2482"/>
      <c r="O84" s="2483"/>
      <c r="P84" s="2482"/>
      <c r="Q84" s="2482"/>
      <c r="R84" s="2484"/>
    </row>
    <row r="85" spans="2:18" s="799" customFormat="1">
      <c r="B85" s="2482"/>
      <c r="C85" s="2482"/>
      <c r="D85" s="2482"/>
      <c r="E85" s="2482"/>
      <c r="F85" s="2482"/>
      <c r="G85" s="2483"/>
      <c r="H85" s="2482"/>
      <c r="I85" s="2483"/>
      <c r="J85" s="2482"/>
      <c r="K85" s="2482"/>
      <c r="L85" s="2483"/>
      <c r="M85" s="2482"/>
      <c r="N85" s="2482"/>
      <c r="O85" s="2483"/>
      <c r="P85" s="2482"/>
      <c r="Q85" s="2482"/>
      <c r="R85" s="2484"/>
    </row>
    <row r="86" spans="2:18" s="799" customFormat="1">
      <c r="B86" s="2482"/>
      <c r="C86" s="2482"/>
      <c r="D86" s="2482"/>
      <c r="E86" s="2482"/>
      <c r="F86" s="2482"/>
      <c r="G86" s="2483"/>
      <c r="H86" s="2482"/>
      <c r="I86" s="2483"/>
      <c r="J86" s="2482"/>
      <c r="K86" s="2482"/>
      <c r="L86" s="2483"/>
      <c r="M86" s="2482"/>
      <c r="N86" s="2482"/>
      <c r="O86" s="2483"/>
      <c r="P86" s="2482"/>
      <c r="Q86" s="2482"/>
      <c r="R86" s="2484"/>
    </row>
    <row r="87" spans="2:18" s="799" customFormat="1">
      <c r="B87" s="2482"/>
      <c r="C87" s="2482"/>
      <c r="D87" s="2482"/>
      <c r="E87" s="2482"/>
      <c r="F87" s="2482"/>
      <c r="G87" s="2483"/>
      <c r="H87" s="2482"/>
      <c r="I87" s="2483"/>
      <c r="J87" s="2482"/>
      <c r="K87" s="2482"/>
      <c r="L87" s="2483"/>
      <c r="M87" s="2482"/>
      <c r="N87" s="2482"/>
      <c r="O87" s="2483"/>
      <c r="P87" s="2482"/>
      <c r="Q87" s="2482"/>
      <c r="R87" s="2484"/>
    </row>
    <row r="88" spans="2:18" s="799" customFormat="1">
      <c r="B88" s="2482"/>
      <c r="C88" s="2482"/>
      <c r="D88" s="2482"/>
      <c r="E88" s="2482"/>
      <c r="F88" s="2482"/>
      <c r="G88" s="2483"/>
      <c r="H88" s="2482"/>
      <c r="I88" s="2483"/>
      <c r="J88" s="2482"/>
      <c r="K88" s="2482"/>
      <c r="L88" s="2483"/>
      <c r="M88" s="2482"/>
      <c r="N88" s="2482"/>
      <c r="O88" s="2483"/>
      <c r="P88" s="2482"/>
      <c r="Q88" s="2482"/>
      <c r="R88" s="2484"/>
    </row>
    <row r="89" spans="2:18" s="799" customFormat="1">
      <c r="B89" s="2482"/>
      <c r="C89" s="2482"/>
      <c r="D89" s="2482"/>
      <c r="E89" s="2482"/>
      <c r="F89" s="2482"/>
      <c r="G89" s="2483"/>
      <c r="H89" s="2482"/>
      <c r="I89" s="2483"/>
      <c r="J89" s="2482"/>
      <c r="K89" s="2482"/>
      <c r="L89" s="2483"/>
      <c r="M89" s="2482"/>
      <c r="N89" s="2482"/>
      <c r="O89" s="2483"/>
      <c r="P89" s="2482"/>
      <c r="Q89" s="2482"/>
      <c r="R89" s="2484"/>
    </row>
    <row r="90" spans="2:18" s="799" customFormat="1">
      <c r="B90" s="2482"/>
      <c r="C90" s="2482"/>
      <c r="D90" s="2482"/>
      <c r="E90" s="2482"/>
      <c r="F90" s="2482"/>
      <c r="G90" s="2483"/>
      <c r="H90" s="2482"/>
      <c r="I90" s="2483"/>
      <c r="J90" s="2482"/>
      <c r="K90" s="2482"/>
      <c r="L90" s="2483"/>
      <c r="M90" s="2482"/>
      <c r="N90" s="2482"/>
      <c r="O90" s="2483"/>
      <c r="P90" s="2482"/>
      <c r="Q90" s="2482"/>
      <c r="R90" s="2484"/>
    </row>
    <row r="91" spans="2:18" s="799" customFormat="1">
      <c r="B91" s="2482"/>
      <c r="C91" s="2482"/>
      <c r="D91" s="2482"/>
      <c r="E91" s="2482"/>
      <c r="F91" s="2482"/>
      <c r="G91" s="2483"/>
      <c r="H91" s="2482"/>
      <c r="I91" s="2483"/>
      <c r="J91" s="2482"/>
      <c r="K91" s="2482"/>
      <c r="L91" s="2483"/>
      <c r="M91" s="2482"/>
      <c r="N91" s="2482"/>
      <c r="O91" s="2483"/>
      <c r="P91" s="2482"/>
      <c r="Q91" s="2482"/>
      <c r="R91" s="2484"/>
    </row>
    <row r="92" spans="2:18" s="799" customFormat="1">
      <c r="B92" s="2482"/>
      <c r="C92" s="2482"/>
      <c r="D92" s="2482"/>
      <c r="E92" s="2482"/>
      <c r="F92" s="2482"/>
      <c r="G92" s="2483"/>
      <c r="H92" s="2482"/>
      <c r="I92" s="2483"/>
      <c r="J92" s="2482"/>
      <c r="K92" s="2482"/>
      <c r="L92" s="2483"/>
      <c r="M92" s="2482"/>
      <c r="N92" s="2482"/>
      <c r="O92" s="2483"/>
      <c r="P92" s="2482"/>
      <c r="Q92" s="2482"/>
      <c r="R92" s="2484"/>
    </row>
    <row r="93" spans="2:18" s="799" customFormat="1">
      <c r="B93" s="2482"/>
      <c r="C93" s="2482"/>
      <c r="D93" s="2482"/>
      <c r="E93" s="2482"/>
      <c r="F93" s="2482"/>
      <c r="G93" s="2483"/>
      <c r="H93" s="2482"/>
      <c r="I93" s="2483"/>
      <c r="J93" s="2482"/>
      <c r="K93" s="2482"/>
      <c r="L93" s="2483"/>
      <c r="M93" s="2482"/>
      <c r="N93" s="2482"/>
      <c r="O93" s="2483"/>
      <c r="P93" s="2482"/>
      <c r="Q93" s="2482"/>
      <c r="R93" s="2484"/>
    </row>
    <row r="94" spans="2:18" s="799" customFormat="1">
      <c r="B94" s="2482"/>
      <c r="C94" s="2482"/>
      <c r="D94" s="2482"/>
      <c r="E94" s="2482"/>
      <c r="F94" s="2482"/>
      <c r="G94" s="2483"/>
      <c r="H94" s="2482"/>
      <c r="I94" s="2483"/>
      <c r="J94" s="2482"/>
      <c r="K94" s="2482"/>
      <c r="L94" s="2483"/>
      <c r="M94" s="2482"/>
      <c r="N94" s="2482"/>
      <c r="O94" s="2483"/>
      <c r="P94" s="2482"/>
      <c r="Q94" s="2482"/>
      <c r="R94" s="2484"/>
    </row>
    <row r="95" spans="2:18" s="799" customFormat="1">
      <c r="B95" s="2482"/>
      <c r="C95" s="2482"/>
      <c r="D95" s="2482"/>
      <c r="E95" s="2482"/>
      <c r="F95" s="2482"/>
      <c r="G95" s="2483"/>
      <c r="H95" s="2482"/>
      <c r="I95" s="2483"/>
      <c r="J95" s="2482"/>
      <c r="K95" s="2482"/>
      <c r="L95" s="2483"/>
      <c r="M95" s="2482"/>
      <c r="N95" s="2482"/>
      <c r="O95" s="2483"/>
      <c r="P95" s="2482"/>
      <c r="Q95" s="2482"/>
      <c r="R95" s="2484"/>
    </row>
    <row r="96" spans="2:18" s="799" customFormat="1">
      <c r="B96" s="2482"/>
      <c r="C96" s="2482"/>
      <c r="D96" s="2482"/>
      <c r="E96" s="2482"/>
      <c r="F96" s="2482"/>
      <c r="G96" s="2483"/>
      <c r="H96" s="2482"/>
      <c r="I96" s="2483"/>
      <c r="J96" s="2482"/>
      <c r="K96" s="2482"/>
      <c r="L96" s="2483"/>
      <c r="M96" s="2482"/>
      <c r="N96" s="2482"/>
      <c r="O96" s="2483"/>
      <c r="P96" s="2482"/>
      <c r="Q96" s="2482"/>
      <c r="R96" s="2484"/>
    </row>
    <row r="97" spans="2:18" s="799" customFormat="1">
      <c r="B97" s="2482"/>
      <c r="C97" s="2482"/>
      <c r="D97" s="2482"/>
      <c r="E97" s="2482"/>
      <c r="F97" s="2482"/>
      <c r="G97" s="2483"/>
      <c r="H97" s="2482"/>
      <c r="I97" s="2483"/>
      <c r="J97" s="2482"/>
      <c r="K97" s="2482"/>
      <c r="L97" s="2483"/>
      <c r="M97" s="2482"/>
      <c r="N97" s="2482"/>
      <c r="O97" s="2483"/>
      <c r="P97" s="2482"/>
      <c r="Q97" s="2482"/>
      <c r="R97" s="2484"/>
    </row>
    <row r="98" spans="2:18" s="799" customFormat="1">
      <c r="B98" s="2482"/>
      <c r="C98" s="2482"/>
      <c r="D98" s="2482"/>
      <c r="E98" s="2482"/>
      <c r="F98" s="2482"/>
      <c r="G98" s="2483"/>
      <c r="H98" s="2482"/>
      <c r="I98" s="2483"/>
      <c r="J98" s="2482"/>
      <c r="K98" s="2482"/>
      <c r="L98" s="2483"/>
      <c r="M98" s="2482"/>
      <c r="N98" s="2482"/>
      <c r="O98" s="2483"/>
      <c r="P98" s="2482"/>
      <c r="Q98" s="2482"/>
      <c r="R98" s="2484"/>
    </row>
    <row r="99" spans="2:18" s="799" customFormat="1">
      <c r="B99" s="2482"/>
      <c r="C99" s="2482"/>
      <c r="D99" s="2482"/>
      <c r="E99" s="2482"/>
      <c r="F99" s="2482"/>
      <c r="G99" s="2483"/>
      <c r="H99" s="2482"/>
      <c r="I99" s="2483"/>
      <c r="J99" s="2482"/>
      <c r="K99" s="2482"/>
      <c r="L99" s="2483"/>
      <c r="M99" s="2482"/>
      <c r="N99" s="2482"/>
      <c r="O99" s="2483"/>
      <c r="P99" s="2482"/>
      <c r="Q99" s="2482"/>
      <c r="R99" s="2484"/>
    </row>
    <row r="100" spans="2:18" s="799" customFormat="1">
      <c r="B100" s="2482"/>
      <c r="C100" s="2482"/>
      <c r="D100" s="2482"/>
      <c r="E100" s="2482"/>
      <c r="F100" s="2482"/>
      <c r="G100" s="2483"/>
      <c r="H100" s="2482"/>
      <c r="I100" s="2483"/>
      <c r="J100" s="2482"/>
      <c r="K100" s="2482"/>
      <c r="L100" s="2483"/>
      <c r="M100" s="2482"/>
      <c r="N100" s="2482"/>
      <c r="O100" s="2483"/>
      <c r="P100" s="2482"/>
      <c r="Q100" s="2482"/>
      <c r="R100" s="2484"/>
    </row>
    <row r="101" spans="2:18" s="799" customFormat="1">
      <c r="B101" s="2482"/>
      <c r="C101" s="2482"/>
      <c r="D101" s="2482"/>
      <c r="E101" s="2482"/>
      <c r="F101" s="2482"/>
      <c r="G101" s="2483"/>
      <c r="H101" s="2482"/>
      <c r="I101" s="2483"/>
      <c r="J101" s="2482"/>
      <c r="K101" s="2482"/>
      <c r="L101" s="2483"/>
      <c r="M101" s="2482"/>
      <c r="N101" s="2482"/>
      <c r="O101" s="2483"/>
      <c r="P101" s="2482"/>
      <c r="Q101" s="2482"/>
      <c r="R101" s="2484"/>
    </row>
    <row r="102" spans="2:18" s="799" customFormat="1">
      <c r="B102" s="2482"/>
      <c r="C102" s="2482"/>
      <c r="D102" s="2482"/>
      <c r="E102" s="2482"/>
      <c r="F102" s="2482"/>
      <c r="G102" s="2483"/>
      <c r="H102" s="2482"/>
      <c r="I102" s="2483"/>
      <c r="J102" s="2482"/>
      <c r="K102" s="2482"/>
      <c r="L102" s="2483"/>
      <c r="M102" s="2482"/>
      <c r="N102" s="2482"/>
      <c r="O102" s="2483"/>
      <c r="P102" s="2482"/>
      <c r="Q102" s="2482"/>
      <c r="R102" s="2484"/>
    </row>
    <row r="103" spans="2:18" s="799" customFormat="1">
      <c r="B103" s="2482"/>
      <c r="C103" s="2482"/>
      <c r="D103" s="2482"/>
      <c r="E103" s="2482"/>
      <c r="F103" s="2482"/>
      <c r="G103" s="2483"/>
      <c r="H103" s="2482"/>
      <c r="I103" s="2483"/>
      <c r="J103" s="2482"/>
      <c r="K103" s="2482"/>
      <c r="L103" s="2483"/>
      <c r="M103" s="2482"/>
      <c r="N103" s="2482"/>
      <c r="O103" s="2483"/>
      <c r="P103" s="2482"/>
      <c r="Q103" s="2482"/>
      <c r="R103" s="2484"/>
    </row>
    <row r="104" spans="2:18" s="799" customFormat="1">
      <c r="B104" s="2482"/>
      <c r="C104" s="2482"/>
      <c r="D104" s="2482"/>
      <c r="E104" s="2482"/>
      <c r="F104" s="2482"/>
      <c r="G104" s="2483"/>
      <c r="H104" s="2482"/>
      <c r="I104" s="2483"/>
      <c r="J104" s="2482"/>
      <c r="K104" s="2482"/>
      <c r="L104" s="2483"/>
      <c r="M104" s="2482"/>
      <c r="N104" s="2482"/>
      <c r="O104" s="2483"/>
      <c r="P104" s="2482"/>
      <c r="Q104" s="2482"/>
      <c r="R104" s="2484"/>
    </row>
    <row r="105" spans="2:18" s="799" customFormat="1">
      <c r="B105" s="2482"/>
      <c r="C105" s="2482"/>
      <c r="D105" s="2482"/>
      <c r="E105" s="2482"/>
      <c r="F105" s="2482"/>
      <c r="G105" s="2483"/>
      <c r="H105" s="2482"/>
      <c r="I105" s="2483"/>
      <c r="J105" s="2482"/>
      <c r="K105" s="2482"/>
      <c r="L105" s="2483"/>
      <c r="M105" s="2482"/>
      <c r="N105" s="2482"/>
      <c r="O105" s="2483"/>
      <c r="P105" s="2482"/>
      <c r="Q105" s="2482"/>
      <c r="R105" s="2484"/>
    </row>
    <row r="106" spans="2:18" s="799" customFormat="1">
      <c r="B106" s="2482"/>
      <c r="C106" s="2482"/>
      <c r="D106" s="2482"/>
      <c r="E106" s="2482"/>
      <c r="F106" s="2482"/>
      <c r="G106" s="2483"/>
      <c r="H106" s="2482"/>
      <c r="I106" s="2483"/>
      <c r="J106" s="2482"/>
      <c r="K106" s="2482"/>
      <c r="L106" s="2483"/>
      <c r="M106" s="2482"/>
      <c r="N106" s="2482"/>
      <c r="O106" s="2483"/>
      <c r="P106" s="2482"/>
      <c r="Q106" s="2482"/>
      <c r="R106" s="2484"/>
    </row>
    <row r="107" spans="2:18" s="799" customFormat="1">
      <c r="B107" s="2482"/>
      <c r="C107" s="2482"/>
      <c r="D107" s="2482"/>
      <c r="E107" s="2482"/>
      <c r="F107" s="2482"/>
      <c r="G107" s="2483"/>
      <c r="H107" s="2482"/>
      <c r="I107" s="2483"/>
      <c r="J107" s="2482"/>
      <c r="K107" s="2482"/>
      <c r="L107" s="2483"/>
      <c r="M107" s="2482"/>
      <c r="N107" s="2482"/>
      <c r="O107" s="2483"/>
      <c r="P107" s="2482"/>
      <c r="Q107" s="2482"/>
      <c r="R107" s="2484"/>
    </row>
    <row r="108" spans="2:18" s="799" customFormat="1">
      <c r="B108" s="2482"/>
      <c r="C108" s="2482"/>
      <c r="D108" s="2482"/>
      <c r="E108" s="2482"/>
      <c r="F108" s="2482"/>
      <c r="G108" s="2483"/>
      <c r="H108" s="2482"/>
      <c r="I108" s="2483"/>
      <c r="J108" s="2482"/>
      <c r="K108" s="2482"/>
      <c r="L108" s="2483"/>
      <c r="M108" s="2482"/>
      <c r="N108" s="2482"/>
      <c r="O108" s="2483"/>
      <c r="P108" s="2482"/>
      <c r="Q108" s="2482"/>
      <c r="R108" s="2484"/>
    </row>
    <row r="109" spans="2:18" s="799" customFormat="1">
      <c r="B109" s="2482"/>
      <c r="C109" s="2482"/>
      <c r="D109" s="2482"/>
      <c r="E109" s="2482"/>
      <c r="F109" s="2482"/>
      <c r="G109" s="2483"/>
      <c r="H109" s="2482"/>
      <c r="I109" s="2483"/>
      <c r="J109" s="2482"/>
      <c r="K109" s="2482"/>
      <c r="L109" s="2483"/>
      <c r="M109" s="2482"/>
      <c r="N109" s="2482"/>
      <c r="O109" s="2483"/>
      <c r="P109" s="2482"/>
      <c r="Q109" s="2482"/>
      <c r="R109" s="2484"/>
    </row>
    <row r="110" spans="2:18" s="799" customFormat="1">
      <c r="B110" s="2482"/>
      <c r="C110" s="2482"/>
      <c r="D110" s="2482"/>
      <c r="E110" s="2482"/>
      <c r="F110" s="2482"/>
      <c r="G110" s="2483"/>
      <c r="H110" s="2482"/>
      <c r="I110" s="2483"/>
      <c r="J110" s="2482"/>
      <c r="K110" s="2482"/>
      <c r="L110" s="2483"/>
      <c r="M110" s="2482"/>
      <c r="N110" s="2482"/>
      <c r="O110" s="2483"/>
      <c r="P110" s="2482"/>
      <c r="Q110" s="2482"/>
      <c r="R110" s="2484"/>
    </row>
    <row r="111" spans="2:18" s="799" customFormat="1">
      <c r="B111" s="2482"/>
      <c r="C111" s="2482"/>
      <c r="D111" s="2482"/>
      <c r="E111" s="2482"/>
      <c r="F111" s="2482"/>
      <c r="G111" s="2483"/>
      <c r="H111" s="2482"/>
      <c r="I111" s="2483"/>
      <c r="J111" s="2482"/>
      <c r="K111" s="2482"/>
      <c r="L111" s="2483"/>
      <c r="M111" s="2482"/>
      <c r="N111" s="2482"/>
      <c r="O111" s="2483"/>
      <c r="P111" s="2482"/>
      <c r="Q111" s="2482"/>
      <c r="R111" s="2484"/>
    </row>
    <row r="112" spans="2:18" s="799" customFormat="1">
      <c r="B112" s="2482"/>
      <c r="C112" s="2482"/>
      <c r="D112" s="2482"/>
      <c r="E112" s="2482"/>
      <c r="F112" s="2482"/>
      <c r="G112" s="2483"/>
      <c r="H112" s="2482"/>
      <c r="I112" s="2483"/>
      <c r="J112" s="2482"/>
      <c r="K112" s="2482"/>
      <c r="L112" s="2483"/>
      <c r="M112" s="2482"/>
      <c r="N112" s="2482"/>
      <c r="O112" s="2483"/>
      <c r="P112" s="2482"/>
      <c r="Q112" s="2482"/>
      <c r="R112" s="2484"/>
    </row>
    <row r="113" spans="2:18" s="799" customFormat="1">
      <c r="B113" s="2482"/>
      <c r="C113" s="2482"/>
      <c r="D113" s="2482"/>
      <c r="E113" s="2482"/>
      <c r="F113" s="2482"/>
      <c r="G113" s="2483"/>
      <c r="H113" s="2482"/>
      <c r="I113" s="2483"/>
      <c r="J113" s="2482"/>
      <c r="K113" s="2482"/>
      <c r="L113" s="2483"/>
      <c r="M113" s="2482"/>
      <c r="N113" s="2482"/>
      <c r="O113" s="2483"/>
      <c r="P113" s="2482"/>
      <c r="Q113" s="2482"/>
      <c r="R113" s="2484"/>
    </row>
    <row r="114" spans="2:18" s="799" customFormat="1">
      <c r="B114" s="2482"/>
      <c r="C114" s="2482"/>
      <c r="D114" s="2482"/>
      <c r="E114" s="2482"/>
      <c r="F114" s="2482"/>
      <c r="G114" s="2483"/>
      <c r="H114" s="2482"/>
      <c r="I114" s="2483"/>
      <c r="J114" s="2482"/>
      <c r="K114" s="2482"/>
      <c r="L114" s="2483"/>
      <c r="M114" s="2482"/>
      <c r="N114" s="2482"/>
      <c r="O114" s="2483"/>
      <c r="P114" s="2482"/>
      <c r="Q114" s="2482"/>
      <c r="R114" s="2484"/>
    </row>
    <row r="115" spans="2:18" s="799" customFormat="1">
      <c r="B115" s="2482"/>
      <c r="C115" s="2482"/>
      <c r="D115" s="2482"/>
      <c r="E115" s="2482"/>
      <c r="F115" s="2482"/>
      <c r="G115" s="2483"/>
      <c r="H115" s="2482"/>
      <c r="I115" s="2483"/>
      <c r="J115" s="2482"/>
      <c r="K115" s="2482"/>
      <c r="L115" s="2483"/>
      <c r="M115" s="2482"/>
      <c r="N115" s="2482"/>
      <c r="O115" s="2483"/>
      <c r="P115" s="2482"/>
      <c r="Q115" s="2482"/>
      <c r="R115" s="2484"/>
    </row>
    <row r="116" spans="2:18" s="799" customFormat="1">
      <c r="B116" s="2482"/>
      <c r="C116" s="2482"/>
      <c r="D116" s="2482"/>
      <c r="E116" s="2482"/>
      <c r="F116" s="2482"/>
      <c r="G116" s="2483"/>
      <c r="H116" s="2482"/>
      <c r="I116" s="2483"/>
      <c r="J116" s="2482"/>
      <c r="K116" s="2482"/>
      <c r="L116" s="2483"/>
      <c r="M116" s="2482"/>
      <c r="N116" s="2482"/>
      <c r="O116" s="2483"/>
      <c r="P116" s="2482"/>
      <c r="Q116" s="2482"/>
      <c r="R116" s="2484"/>
    </row>
    <row r="117" spans="2:18" s="799" customFormat="1">
      <c r="B117" s="2482"/>
      <c r="C117" s="2482"/>
      <c r="D117" s="2482"/>
      <c r="E117" s="2482"/>
      <c r="F117" s="2482"/>
      <c r="G117" s="2483"/>
      <c r="H117" s="2482"/>
      <c r="I117" s="2483"/>
      <c r="J117" s="2482"/>
      <c r="K117" s="2482"/>
      <c r="L117" s="2483"/>
      <c r="M117" s="2482"/>
      <c r="N117" s="2482"/>
      <c r="O117" s="2483"/>
      <c r="P117" s="2482"/>
      <c r="Q117" s="2482"/>
      <c r="R117" s="2484"/>
    </row>
    <row r="118" spans="2:18" s="799" customFormat="1">
      <c r="B118" s="2482"/>
      <c r="C118" s="2482"/>
      <c r="D118" s="2482"/>
      <c r="E118" s="2482"/>
      <c r="F118" s="2482"/>
      <c r="G118" s="2483"/>
      <c r="H118" s="2482"/>
      <c r="I118" s="2483"/>
      <c r="J118" s="2482"/>
      <c r="K118" s="2482"/>
      <c r="L118" s="2483"/>
      <c r="M118" s="2482"/>
      <c r="N118" s="2482"/>
      <c r="O118" s="2483"/>
      <c r="P118" s="2482"/>
      <c r="Q118" s="2482"/>
      <c r="R118" s="2484"/>
    </row>
    <row r="119" spans="2:18" s="799" customFormat="1">
      <c r="B119" s="2482"/>
      <c r="C119" s="2482"/>
      <c r="D119" s="2482"/>
      <c r="E119" s="2482"/>
      <c r="F119" s="2482"/>
      <c r="G119" s="2483"/>
      <c r="H119" s="2482"/>
      <c r="I119" s="2483"/>
      <c r="J119" s="2482"/>
      <c r="K119" s="2482"/>
      <c r="L119" s="2483"/>
      <c r="M119" s="2482"/>
      <c r="N119" s="2482"/>
      <c r="O119" s="2483"/>
      <c r="P119" s="2482"/>
      <c r="Q119" s="2482"/>
      <c r="R119" s="2484"/>
    </row>
    <row r="120" spans="2:18" s="799" customFormat="1">
      <c r="B120" s="2482"/>
      <c r="C120" s="2482"/>
      <c r="D120" s="2482"/>
      <c r="E120" s="2482"/>
      <c r="F120" s="2482"/>
      <c r="G120" s="2483"/>
      <c r="H120" s="2482"/>
      <c r="I120" s="2483"/>
      <c r="J120" s="2482"/>
      <c r="K120" s="2482"/>
      <c r="L120" s="2483"/>
      <c r="M120" s="2482"/>
      <c r="N120" s="2482"/>
      <c r="O120" s="2483"/>
      <c r="P120" s="2482"/>
      <c r="Q120" s="2482"/>
      <c r="R120" s="2484"/>
    </row>
    <row r="121" spans="2:18" s="799" customFormat="1">
      <c r="B121" s="2482"/>
      <c r="C121" s="2482"/>
      <c r="D121" s="2482"/>
      <c r="E121" s="2482"/>
      <c r="F121" s="2482"/>
      <c r="G121" s="2483"/>
      <c r="H121" s="2482"/>
      <c r="I121" s="2483"/>
      <c r="J121" s="2482"/>
      <c r="K121" s="2482"/>
      <c r="L121" s="2483"/>
      <c r="M121" s="2482"/>
      <c r="N121" s="2482"/>
      <c r="O121" s="2483"/>
      <c r="P121" s="2482"/>
      <c r="Q121" s="2482"/>
      <c r="R121" s="2484"/>
    </row>
    <row r="122" spans="2:18" s="799" customFormat="1">
      <c r="B122" s="2482"/>
      <c r="C122" s="2482"/>
      <c r="D122" s="2482"/>
      <c r="E122" s="2482"/>
      <c r="F122" s="2482"/>
      <c r="G122" s="2483"/>
      <c r="H122" s="2482"/>
      <c r="I122" s="2483"/>
      <c r="J122" s="2482"/>
      <c r="K122" s="2482"/>
      <c r="L122" s="2483"/>
      <c r="M122" s="2482"/>
      <c r="N122" s="2482"/>
      <c r="O122" s="2483"/>
      <c r="P122" s="2482"/>
      <c r="Q122" s="2482"/>
      <c r="R122" s="2484"/>
    </row>
    <row r="123" spans="2:18" s="799" customFormat="1">
      <c r="B123" s="2482"/>
      <c r="C123" s="2482"/>
      <c r="D123" s="2482"/>
      <c r="E123" s="2482"/>
      <c r="F123" s="2482"/>
      <c r="G123" s="2483"/>
      <c r="H123" s="2482"/>
      <c r="I123" s="2483"/>
      <c r="J123" s="2482"/>
      <c r="K123" s="2482"/>
      <c r="L123" s="2483"/>
      <c r="M123" s="2482"/>
      <c r="N123" s="2482"/>
      <c r="O123" s="2483"/>
      <c r="P123" s="2482"/>
      <c r="Q123" s="2482"/>
      <c r="R123" s="2484"/>
    </row>
    <row r="124" spans="2:18" s="799" customFormat="1">
      <c r="B124" s="2482"/>
      <c r="C124" s="2482"/>
      <c r="D124" s="2482"/>
      <c r="E124" s="2482"/>
      <c r="F124" s="2482"/>
      <c r="G124" s="2483"/>
      <c r="H124" s="2482"/>
      <c r="I124" s="2483"/>
      <c r="J124" s="2482"/>
      <c r="K124" s="2482"/>
      <c r="L124" s="2483"/>
      <c r="M124" s="2482"/>
      <c r="N124" s="2482"/>
      <c r="O124" s="2483"/>
      <c r="P124" s="2482"/>
      <c r="Q124" s="2482"/>
      <c r="R124" s="2484"/>
    </row>
    <row r="125" spans="2:18" s="799" customFormat="1">
      <c r="B125" s="2482"/>
      <c r="C125" s="2482"/>
      <c r="D125" s="2482"/>
      <c r="E125" s="2482"/>
      <c r="F125" s="2482"/>
      <c r="G125" s="2483"/>
      <c r="H125" s="2482"/>
      <c r="I125" s="2483"/>
      <c r="J125" s="2482"/>
      <c r="K125" s="2482"/>
      <c r="L125" s="2483"/>
      <c r="M125" s="2482"/>
      <c r="N125" s="2482"/>
      <c r="O125" s="2483"/>
      <c r="P125" s="2482"/>
      <c r="Q125" s="2482"/>
      <c r="R125" s="2484"/>
    </row>
    <row r="126" spans="2:18" s="799" customFormat="1">
      <c r="B126" s="2482"/>
      <c r="C126" s="2482"/>
      <c r="D126" s="2482"/>
      <c r="E126" s="2482"/>
      <c r="F126" s="2482"/>
      <c r="G126" s="2483"/>
      <c r="H126" s="2482"/>
      <c r="I126" s="2483"/>
      <c r="J126" s="2482"/>
      <c r="K126" s="2482"/>
      <c r="L126" s="2483"/>
      <c r="M126" s="2482"/>
      <c r="N126" s="2482"/>
      <c r="O126" s="2483"/>
      <c r="P126" s="2482"/>
      <c r="Q126" s="2482"/>
      <c r="R126" s="2484"/>
    </row>
    <row r="127" spans="2:18" s="799" customFormat="1">
      <c r="B127" s="2482"/>
      <c r="C127" s="2482"/>
      <c r="D127" s="2482"/>
      <c r="E127" s="2482"/>
      <c r="F127" s="2482"/>
      <c r="G127" s="2483"/>
      <c r="H127" s="2482"/>
      <c r="I127" s="2483"/>
      <c r="J127" s="2482"/>
      <c r="K127" s="2482"/>
      <c r="L127" s="2483"/>
      <c r="M127" s="2482"/>
      <c r="N127" s="2482"/>
      <c r="O127" s="2483"/>
      <c r="P127" s="2482"/>
      <c r="Q127" s="2482"/>
      <c r="R127" s="2484"/>
    </row>
    <row r="128" spans="2:18" s="799" customFormat="1">
      <c r="B128" s="2482"/>
      <c r="C128" s="2482"/>
      <c r="D128" s="2482"/>
      <c r="E128" s="2482"/>
      <c r="F128" s="2482"/>
      <c r="G128" s="2483"/>
      <c r="H128" s="2482"/>
      <c r="I128" s="2483"/>
      <c r="J128" s="2482"/>
      <c r="K128" s="2482"/>
      <c r="L128" s="2483"/>
      <c r="M128" s="2482"/>
      <c r="N128" s="2482"/>
      <c r="O128" s="2483"/>
      <c r="P128" s="2482"/>
      <c r="Q128" s="2482"/>
      <c r="R128" s="2484"/>
    </row>
    <row r="129" spans="2:18" s="799" customFormat="1">
      <c r="B129" s="2482"/>
      <c r="C129" s="2482"/>
      <c r="D129" s="2482"/>
      <c r="E129" s="2482"/>
      <c r="F129" s="2482"/>
      <c r="G129" s="2483"/>
      <c r="H129" s="2482"/>
      <c r="I129" s="2483"/>
      <c r="J129" s="2482"/>
      <c r="K129" s="2482"/>
      <c r="L129" s="2483"/>
      <c r="M129" s="2482"/>
      <c r="N129" s="2482"/>
      <c r="O129" s="2483"/>
      <c r="P129" s="2482"/>
      <c r="Q129" s="2482"/>
      <c r="R129" s="2484"/>
    </row>
    <row r="130" spans="2:18" s="799" customFormat="1">
      <c r="B130" s="2482"/>
      <c r="C130" s="2482"/>
      <c r="D130" s="2482"/>
      <c r="E130" s="2482"/>
      <c r="F130" s="2482"/>
      <c r="G130" s="2483"/>
      <c r="H130" s="2482"/>
      <c r="I130" s="2483"/>
      <c r="J130" s="2482"/>
      <c r="K130" s="2482"/>
      <c r="L130" s="2483"/>
      <c r="M130" s="2482"/>
      <c r="N130" s="2482"/>
      <c r="O130" s="2483"/>
      <c r="P130" s="2482"/>
      <c r="Q130" s="2482"/>
      <c r="R130" s="2484"/>
    </row>
    <row r="131" spans="2:18" s="799" customFormat="1">
      <c r="B131" s="2482"/>
      <c r="C131" s="2482"/>
      <c r="D131" s="2482"/>
      <c r="E131" s="2482"/>
      <c r="F131" s="2482"/>
      <c r="G131" s="2483"/>
      <c r="H131" s="2482"/>
      <c r="I131" s="2483"/>
      <c r="J131" s="2482"/>
      <c r="K131" s="2482"/>
      <c r="L131" s="2483"/>
      <c r="M131" s="2482"/>
      <c r="N131" s="2482"/>
      <c r="O131" s="2483"/>
      <c r="P131" s="2482"/>
      <c r="Q131" s="2482"/>
      <c r="R131" s="2484"/>
    </row>
    <row r="132" spans="2:18" s="799" customFormat="1">
      <c r="B132" s="2482"/>
      <c r="C132" s="2482"/>
      <c r="D132" s="2482"/>
      <c r="E132" s="2482"/>
      <c r="F132" s="2482"/>
      <c r="G132" s="2483"/>
      <c r="H132" s="2482"/>
      <c r="I132" s="2483"/>
      <c r="J132" s="2482"/>
      <c r="K132" s="2482"/>
      <c r="L132" s="2483"/>
      <c r="M132" s="2482"/>
      <c r="N132" s="2482"/>
      <c r="O132" s="2483"/>
      <c r="P132" s="2482"/>
      <c r="Q132" s="2482"/>
      <c r="R132" s="2484"/>
    </row>
    <row r="133" spans="2:18" s="799" customFormat="1">
      <c r="B133" s="2482"/>
      <c r="C133" s="2482"/>
      <c r="D133" s="2482"/>
      <c r="E133" s="2482"/>
      <c r="F133" s="2482"/>
      <c r="G133" s="2483"/>
      <c r="H133" s="2482"/>
      <c r="I133" s="2483"/>
      <c r="J133" s="2482"/>
      <c r="K133" s="2482"/>
      <c r="L133" s="2483"/>
      <c r="M133" s="2482"/>
      <c r="N133" s="2482"/>
      <c r="O133" s="2483"/>
      <c r="P133" s="2482"/>
      <c r="Q133" s="2482"/>
      <c r="R133" s="2484"/>
    </row>
    <row r="134" spans="2:18" s="799" customFormat="1">
      <c r="B134" s="2482"/>
      <c r="C134" s="2482"/>
      <c r="D134" s="2482"/>
      <c r="E134" s="2482"/>
      <c r="F134" s="2482"/>
      <c r="G134" s="2483"/>
      <c r="H134" s="2482"/>
      <c r="I134" s="2483"/>
      <c r="J134" s="2482"/>
      <c r="K134" s="2482"/>
      <c r="L134" s="2483"/>
      <c r="M134" s="2482"/>
      <c r="N134" s="2482"/>
      <c r="O134" s="2483"/>
      <c r="P134" s="2482"/>
      <c r="Q134" s="2482"/>
      <c r="R134" s="2484"/>
    </row>
    <row r="135" spans="2:18" s="799" customFormat="1">
      <c r="B135" s="2482"/>
      <c r="C135" s="2482"/>
      <c r="D135" s="2482"/>
      <c r="E135" s="2482"/>
      <c r="F135" s="2482"/>
      <c r="G135" s="2483"/>
      <c r="H135" s="2482"/>
      <c r="I135" s="2483"/>
      <c r="J135" s="2482"/>
      <c r="K135" s="2482"/>
      <c r="L135" s="2483"/>
      <c r="M135" s="2482"/>
      <c r="N135" s="2482"/>
      <c r="O135" s="2483"/>
      <c r="P135" s="2482"/>
      <c r="Q135" s="2482"/>
      <c r="R135" s="2484"/>
    </row>
    <row r="136" spans="2:18" s="799" customFormat="1">
      <c r="B136" s="2482"/>
      <c r="C136" s="2482"/>
      <c r="D136" s="2482"/>
      <c r="E136" s="2482"/>
      <c r="F136" s="2482"/>
      <c r="G136" s="2483"/>
      <c r="H136" s="2482"/>
      <c r="I136" s="2483"/>
      <c r="J136" s="2482"/>
      <c r="K136" s="2482"/>
      <c r="L136" s="2483"/>
      <c r="M136" s="2482"/>
      <c r="N136" s="2482"/>
      <c r="O136" s="2483"/>
      <c r="P136" s="2482"/>
      <c r="Q136" s="2482"/>
      <c r="R136" s="2484"/>
    </row>
    <row r="137" spans="2:18" s="799" customFormat="1">
      <c r="B137" s="2482"/>
      <c r="C137" s="2482"/>
      <c r="D137" s="2482"/>
      <c r="E137" s="2482"/>
      <c r="F137" s="2482"/>
      <c r="G137" s="2483"/>
      <c r="H137" s="2482"/>
      <c r="I137" s="2483"/>
      <c r="J137" s="2482"/>
      <c r="K137" s="2482"/>
      <c r="L137" s="2483"/>
      <c r="M137" s="2482"/>
      <c r="N137" s="2482"/>
      <c r="O137" s="2483"/>
      <c r="P137" s="2482"/>
      <c r="Q137" s="2482"/>
      <c r="R137" s="2484"/>
    </row>
    <row r="138" spans="2:18" s="799" customFormat="1">
      <c r="B138" s="2482"/>
      <c r="C138" s="2482"/>
      <c r="D138" s="2482"/>
      <c r="E138" s="2482"/>
      <c r="F138" s="2482"/>
      <c r="G138" s="2483"/>
      <c r="H138" s="2482"/>
      <c r="I138" s="2483"/>
      <c r="J138" s="2482"/>
      <c r="K138" s="2482"/>
      <c r="L138" s="2483"/>
      <c r="M138" s="2482"/>
      <c r="N138" s="2482"/>
      <c r="O138" s="2483"/>
      <c r="P138" s="2482"/>
      <c r="Q138" s="2482"/>
      <c r="R138" s="2484"/>
    </row>
    <row r="139" spans="2:18" s="799" customFormat="1">
      <c r="B139" s="2482"/>
      <c r="C139" s="2482"/>
      <c r="D139" s="2482"/>
      <c r="E139" s="2482"/>
      <c r="F139" s="2482"/>
      <c r="G139" s="2483"/>
      <c r="H139" s="2482"/>
      <c r="I139" s="2483"/>
      <c r="J139" s="2482"/>
      <c r="K139" s="2482"/>
      <c r="L139" s="2483"/>
      <c r="M139" s="2482"/>
      <c r="N139" s="2482"/>
      <c r="O139" s="2483"/>
      <c r="P139" s="2482"/>
      <c r="Q139" s="2482"/>
      <c r="R139" s="2484"/>
    </row>
    <row r="140" spans="2:18" s="799" customFormat="1">
      <c r="B140" s="2482"/>
      <c r="C140" s="2482"/>
      <c r="D140" s="2482"/>
      <c r="E140" s="2482"/>
      <c r="F140" s="2482"/>
      <c r="G140" s="2483"/>
      <c r="H140" s="2482"/>
      <c r="I140" s="2483"/>
      <c r="J140" s="2482"/>
      <c r="K140" s="2482"/>
      <c r="L140" s="2483"/>
      <c r="M140" s="2482"/>
      <c r="N140" s="2482"/>
      <c r="O140" s="2483"/>
      <c r="P140" s="2482"/>
      <c r="Q140" s="2482"/>
      <c r="R140" s="2484"/>
    </row>
    <row r="141" spans="2:18" s="799" customFormat="1">
      <c r="B141" s="2482"/>
      <c r="C141" s="2482"/>
      <c r="D141" s="2482"/>
      <c r="E141" s="2482"/>
      <c r="F141" s="2482"/>
      <c r="G141" s="2483"/>
      <c r="H141" s="2482"/>
      <c r="I141" s="2483"/>
      <c r="J141" s="2482"/>
      <c r="K141" s="2482"/>
      <c r="L141" s="2483"/>
      <c r="M141" s="2482"/>
      <c r="N141" s="2482"/>
      <c r="O141" s="2483"/>
      <c r="P141" s="2482"/>
      <c r="Q141" s="2482"/>
      <c r="R141" s="2484"/>
    </row>
    <row r="142" spans="2:18" s="799" customFormat="1">
      <c r="B142" s="2482"/>
      <c r="C142" s="2482"/>
      <c r="D142" s="2482"/>
      <c r="E142" s="2482"/>
      <c r="F142" s="2482"/>
      <c r="G142" s="2483"/>
      <c r="H142" s="2482"/>
      <c r="I142" s="2483"/>
      <c r="J142" s="2482"/>
      <c r="K142" s="2482"/>
      <c r="L142" s="2483"/>
      <c r="M142" s="2482"/>
      <c r="N142" s="2482"/>
      <c r="O142" s="2483"/>
      <c r="P142" s="2482"/>
      <c r="Q142" s="2482"/>
      <c r="R142" s="2484"/>
    </row>
    <row r="143" spans="2:18" s="799" customFormat="1">
      <c r="B143" s="2482"/>
      <c r="C143" s="2482"/>
      <c r="D143" s="2482"/>
      <c r="E143" s="2482"/>
      <c r="F143" s="2482"/>
      <c r="G143" s="2483"/>
      <c r="H143" s="2482"/>
      <c r="I143" s="2483"/>
      <c r="J143" s="2482"/>
      <c r="K143" s="2482"/>
      <c r="L143" s="2483"/>
      <c r="M143" s="2482"/>
      <c r="N143" s="2482"/>
      <c r="O143" s="2483"/>
      <c r="P143" s="2482"/>
      <c r="Q143" s="2482"/>
      <c r="R143" s="2484"/>
    </row>
    <row r="144" spans="2:18" s="799" customFormat="1">
      <c r="B144" s="2482"/>
      <c r="C144" s="2482"/>
      <c r="D144" s="2482"/>
      <c r="E144" s="2482"/>
      <c r="F144" s="2482"/>
      <c r="G144" s="2483"/>
      <c r="H144" s="2482"/>
      <c r="I144" s="2483"/>
      <c r="J144" s="2482"/>
      <c r="K144" s="2482"/>
      <c r="L144" s="2483"/>
      <c r="M144" s="2482"/>
      <c r="N144" s="2482"/>
      <c r="O144" s="2483"/>
      <c r="P144" s="2482"/>
      <c r="Q144" s="2482"/>
      <c r="R144" s="2484"/>
    </row>
    <row r="145" spans="2:18" s="799" customFormat="1">
      <c r="B145" s="2482"/>
      <c r="C145" s="2482"/>
      <c r="D145" s="2482"/>
      <c r="E145" s="2482"/>
      <c r="F145" s="2482"/>
      <c r="G145" s="2483"/>
      <c r="H145" s="2482"/>
      <c r="I145" s="2483"/>
      <c r="J145" s="2482"/>
      <c r="K145" s="2482"/>
      <c r="L145" s="2483"/>
      <c r="M145" s="2482"/>
      <c r="N145" s="2482"/>
      <c r="O145" s="2483"/>
      <c r="P145" s="2482"/>
      <c r="Q145" s="2482"/>
      <c r="R145" s="2484"/>
    </row>
    <row r="146" spans="2:18" s="799" customFormat="1">
      <c r="B146" s="2482"/>
      <c r="C146" s="2482"/>
      <c r="D146" s="2482"/>
      <c r="E146" s="2482"/>
      <c r="F146" s="2482"/>
      <c r="G146" s="2483"/>
      <c r="H146" s="2482"/>
      <c r="I146" s="2483"/>
      <c r="J146" s="2482"/>
      <c r="K146" s="2482"/>
      <c r="L146" s="2483"/>
      <c r="M146" s="2482"/>
      <c r="N146" s="2482"/>
      <c r="O146" s="2483"/>
      <c r="P146" s="2482"/>
      <c r="Q146" s="2482"/>
      <c r="R146" s="2484"/>
    </row>
    <row r="147" spans="2:18" s="799" customFormat="1">
      <c r="B147" s="2482"/>
      <c r="C147" s="2482"/>
      <c r="D147" s="2482"/>
      <c r="E147" s="2482"/>
      <c r="F147" s="2482"/>
      <c r="G147" s="2483"/>
      <c r="H147" s="2482"/>
      <c r="I147" s="2483"/>
      <c r="J147" s="2482"/>
      <c r="K147" s="2482"/>
      <c r="L147" s="2483"/>
      <c r="M147" s="2482"/>
      <c r="N147" s="2482"/>
      <c r="O147" s="2483"/>
      <c r="P147" s="2482"/>
      <c r="Q147" s="2482"/>
      <c r="R147" s="2484"/>
    </row>
    <row r="148" spans="2:18" s="799" customFormat="1">
      <c r="B148" s="2482"/>
      <c r="C148" s="2482"/>
      <c r="D148" s="2482"/>
      <c r="E148" s="2482"/>
      <c r="F148" s="2482"/>
      <c r="G148" s="2483"/>
      <c r="H148" s="2482"/>
      <c r="I148" s="2483"/>
      <c r="J148" s="2482"/>
      <c r="K148" s="2482"/>
      <c r="L148" s="2483"/>
      <c r="M148" s="2482"/>
      <c r="N148" s="2482"/>
      <c r="O148" s="2483"/>
      <c r="P148" s="2482"/>
      <c r="Q148" s="2482"/>
      <c r="R148" s="2484"/>
    </row>
    <row r="149" spans="2:18" s="799" customFormat="1">
      <c r="B149" s="2482"/>
      <c r="C149" s="2482"/>
      <c r="D149" s="2482"/>
      <c r="E149" s="2482"/>
      <c r="F149" s="2482"/>
      <c r="G149" s="2483"/>
      <c r="H149" s="2482"/>
      <c r="I149" s="2483"/>
      <c r="J149" s="2482"/>
      <c r="K149" s="2482"/>
      <c r="L149" s="2483"/>
      <c r="M149" s="2482"/>
      <c r="N149" s="2482"/>
      <c r="O149" s="2483"/>
      <c r="P149" s="2482"/>
      <c r="Q149" s="2482"/>
      <c r="R149" s="2484"/>
    </row>
    <row r="150" spans="2:18" s="799" customFormat="1">
      <c r="B150" s="2482"/>
      <c r="C150" s="2482"/>
      <c r="D150" s="2482"/>
      <c r="E150" s="2482"/>
      <c r="F150" s="2482"/>
      <c r="G150" s="2483"/>
      <c r="H150" s="2482"/>
      <c r="I150" s="2483"/>
      <c r="J150" s="2482"/>
      <c r="K150" s="2482"/>
      <c r="L150" s="2483"/>
      <c r="M150" s="2482"/>
      <c r="N150" s="2482"/>
      <c r="O150" s="2483"/>
      <c r="P150" s="2482"/>
      <c r="Q150" s="2482"/>
      <c r="R150" s="2484"/>
    </row>
    <row r="151" spans="2:18" s="799" customFormat="1">
      <c r="B151" s="2482"/>
      <c r="C151" s="2482"/>
      <c r="D151" s="2482"/>
      <c r="E151" s="2482"/>
      <c r="F151" s="2482"/>
      <c r="G151" s="2483"/>
      <c r="H151" s="2482"/>
      <c r="I151" s="2483"/>
      <c r="J151" s="2482"/>
      <c r="K151" s="2482"/>
      <c r="L151" s="2483"/>
      <c r="M151" s="2482"/>
      <c r="N151" s="2482"/>
      <c r="O151" s="2483"/>
      <c r="P151" s="2482"/>
      <c r="Q151" s="2482"/>
      <c r="R151" s="2484"/>
    </row>
    <row r="152" spans="2:18" s="799" customFormat="1">
      <c r="B152" s="2482"/>
      <c r="C152" s="2482"/>
      <c r="D152" s="2482"/>
      <c r="E152" s="2482"/>
      <c r="F152" s="2482"/>
      <c r="G152" s="2483"/>
      <c r="H152" s="2482"/>
      <c r="I152" s="2483"/>
      <c r="J152" s="2482"/>
      <c r="K152" s="2482"/>
      <c r="L152" s="2483"/>
      <c r="M152" s="2482"/>
      <c r="N152" s="2482"/>
      <c r="O152" s="2483"/>
      <c r="P152" s="2482"/>
      <c r="Q152" s="2482"/>
      <c r="R152" s="2484"/>
    </row>
    <row r="153" spans="2:18" s="799" customFormat="1">
      <c r="B153" s="2482"/>
      <c r="C153" s="2482"/>
      <c r="D153" s="2482"/>
      <c r="E153" s="2482"/>
      <c r="F153" s="2482"/>
      <c r="G153" s="2483"/>
      <c r="H153" s="2482"/>
      <c r="I153" s="2483"/>
      <c r="J153" s="2482"/>
      <c r="K153" s="2482"/>
      <c r="L153" s="2483"/>
      <c r="M153" s="2482"/>
      <c r="N153" s="2482"/>
      <c r="O153" s="2483"/>
      <c r="P153" s="2482"/>
      <c r="Q153" s="2482"/>
      <c r="R153" s="2484"/>
    </row>
    <row r="154" spans="2:18" s="799" customFormat="1">
      <c r="B154" s="2482"/>
      <c r="C154" s="2482"/>
      <c r="D154" s="2482"/>
      <c r="E154" s="2482"/>
      <c r="F154" s="2482"/>
      <c r="G154" s="2483"/>
      <c r="H154" s="2482"/>
      <c r="I154" s="2483"/>
      <c r="J154" s="2482"/>
      <c r="K154" s="2482"/>
      <c r="L154" s="2483"/>
      <c r="M154" s="2482"/>
      <c r="N154" s="2482"/>
      <c r="O154" s="2483"/>
      <c r="P154" s="2482"/>
      <c r="Q154" s="2482"/>
      <c r="R154" s="2484"/>
    </row>
    <row r="155" spans="2:18" s="799" customFormat="1">
      <c r="B155" s="2482"/>
      <c r="C155" s="2482"/>
      <c r="D155" s="2482"/>
      <c r="E155" s="2482"/>
      <c r="F155" s="2482"/>
      <c r="G155" s="2483"/>
      <c r="H155" s="2482"/>
      <c r="I155" s="2483"/>
      <c r="J155" s="2482"/>
      <c r="K155" s="2482"/>
      <c r="L155" s="2483"/>
      <c r="M155" s="2482"/>
      <c r="N155" s="2482"/>
      <c r="O155" s="2483"/>
      <c r="P155" s="2482"/>
      <c r="Q155" s="2482"/>
      <c r="R155" s="2484"/>
    </row>
    <row r="156" spans="2:18" s="799" customFormat="1">
      <c r="B156" s="2482"/>
      <c r="C156" s="2482"/>
      <c r="D156" s="2482"/>
      <c r="E156" s="2482"/>
      <c r="F156" s="2482"/>
      <c r="G156" s="2483"/>
      <c r="H156" s="2482"/>
      <c r="I156" s="2483"/>
      <c r="J156" s="2482"/>
      <c r="K156" s="2482"/>
      <c r="L156" s="2483"/>
      <c r="M156" s="2482"/>
      <c r="N156" s="2482"/>
      <c r="O156" s="2483"/>
      <c r="P156" s="2482"/>
      <c r="Q156" s="2482"/>
      <c r="R156" s="2484"/>
    </row>
    <row r="157" spans="2:18" s="799" customFormat="1">
      <c r="B157" s="2482"/>
      <c r="C157" s="2482"/>
      <c r="D157" s="2482"/>
      <c r="E157" s="2482"/>
      <c r="F157" s="2482"/>
      <c r="G157" s="2483"/>
      <c r="H157" s="2482"/>
      <c r="I157" s="2483"/>
      <c r="J157" s="2482"/>
      <c r="K157" s="2482"/>
      <c r="L157" s="2483"/>
      <c r="M157" s="2482"/>
      <c r="N157" s="2482"/>
      <c r="O157" s="2483"/>
      <c r="P157" s="2482"/>
      <c r="Q157" s="2482"/>
      <c r="R157" s="2484"/>
    </row>
    <row r="158" spans="2:18" s="799" customFormat="1">
      <c r="B158" s="2482"/>
      <c r="C158" s="2482"/>
      <c r="D158" s="2482"/>
      <c r="E158" s="2482"/>
      <c r="F158" s="2482"/>
      <c r="G158" s="2483"/>
      <c r="H158" s="2482"/>
      <c r="I158" s="2483"/>
      <c r="J158" s="2482"/>
      <c r="K158" s="2482"/>
      <c r="L158" s="2483"/>
      <c r="M158" s="2482"/>
      <c r="N158" s="2482"/>
      <c r="O158" s="2483"/>
      <c r="P158" s="2482"/>
      <c r="Q158" s="2482"/>
      <c r="R158" s="2484"/>
    </row>
    <row r="159" spans="2:18" s="799" customFormat="1">
      <c r="B159" s="2482"/>
      <c r="C159" s="2482"/>
      <c r="D159" s="2482"/>
      <c r="E159" s="2482"/>
      <c r="F159" s="2482"/>
      <c r="G159" s="2483"/>
      <c r="H159" s="2482"/>
      <c r="I159" s="2483"/>
      <c r="J159" s="2482"/>
      <c r="K159" s="2482"/>
      <c r="L159" s="2483"/>
      <c r="M159" s="2482"/>
      <c r="N159" s="2482"/>
      <c r="O159" s="2483"/>
      <c r="P159" s="2482"/>
      <c r="Q159" s="2482"/>
      <c r="R159" s="2484"/>
    </row>
    <row r="160" spans="2:18" s="799" customFormat="1">
      <c r="B160" s="2482"/>
      <c r="C160" s="2482"/>
      <c r="D160" s="2482"/>
      <c r="E160" s="2482"/>
      <c r="F160" s="2482"/>
      <c r="G160" s="2483"/>
      <c r="H160" s="2482"/>
      <c r="I160" s="2483"/>
      <c r="J160" s="2482"/>
      <c r="K160" s="2482"/>
      <c r="L160" s="2483"/>
      <c r="M160" s="2482"/>
      <c r="N160" s="2482"/>
      <c r="O160" s="2483"/>
      <c r="P160" s="2482"/>
      <c r="Q160" s="2482"/>
      <c r="R160" s="2484"/>
    </row>
    <row r="161" spans="2:18" s="799" customFormat="1">
      <c r="B161" s="2482"/>
      <c r="C161" s="2482"/>
      <c r="D161" s="2482"/>
      <c r="E161" s="2482"/>
      <c r="F161" s="2482"/>
      <c r="G161" s="2483"/>
      <c r="H161" s="2482"/>
      <c r="I161" s="2483"/>
      <c r="J161" s="2482"/>
      <c r="K161" s="2482"/>
      <c r="L161" s="2483"/>
      <c r="M161" s="2482"/>
      <c r="N161" s="2482"/>
      <c r="O161" s="2483"/>
      <c r="P161" s="2482"/>
      <c r="Q161" s="2482"/>
      <c r="R161" s="2484"/>
    </row>
    <row r="162" spans="2:18" s="799" customFormat="1">
      <c r="B162" s="2482"/>
      <c r="C162" s="2482"/>
      <c r="D162" s="2482"/>
      <c r="E162" s="2482"/>
      <c r="F162" s="2482"/>
      <c r="G162" s="2483"/>
      <c r="H162" s="2482"/>
      <c r="I162" s="2483"/>
      <c r="J162" s="2482"/>
      <c r="K162" s="2482"/>
      <c r="L162" s="2483"/>
      <c r="M162" s="2482"/>
      <c r="N162" s="2482"/>
      <c r="O162" s="2483"/>
      <c r="P162" s="2482"/>
      <c r="Q162" s="2482"/>
      <c r="R162" s="2484"/>
    </row>
    <row r="163" spans="2:18" s="799" customFormat="1">
      <c r="B163" s="2482"/>
      <c r="C163" s="2482"/>
      <c r="D163" s="2482"/>
      <c r="E163" s="2482"/>
      <c r="F163" s="2482"/>
      <c r="G163" s="2483"/>
      <c r="H163" s="2482"/>
      <c r="I163" s="2483"/>
      <c r="J163" s="2482"/>
      <c r="K163" s="2482"/>
      <c r="L163" s="2483"/>
      <c r="M163" s="2482"/>
      <c r="N163" s="2482"/>
      <c r="O163" s="2483"/>
      <c r="P163" s="2482"/>
      <c r="Q163" s="2482"/>
      <c r="R163" s="2484"/>
    </row>
    <row r="164" spans="2:18" s="799" customFormat="1">
      <c r="B164" s="2482"/>
      <c r="C164" s="2482"/>
      <c r="D164" s="2482"/>
      <c r="E164" s="2482"/>
      <c r="F164" s="2482"/>
      <c r="G164" s="2483"/>
      <c r="H164" s="2482"/>
      <c r="I164" s="2483"/>
      <c r="J164" s="2482"/>
      <c r="K164" s="2482"/>
      <c r="L164" s="2483"/>
      <c r="M164" s="2482"/>
      <c r="N164" s="2482"/>
      <c r="O164" s="2483"/>
      <c r="P164" s="2482"/>
      <c r="Q164" s="2482"/>
      <c r="R164" s="2484"/>
    </row>
    <row r="165" spans="2:18" s="799" customFormat="1">
      <c r="B165" s="2482"/>
      <c r="C165" s="2482"/>
      <c r="D165" s="2482"/>
      <c r="E165" s="2482"/>
      <c r="F165" s="2482"/>
      <c r="G165" s="2483"/>
      <c r="H165" s="2482"/>
      <c r="I165" s="2483"/>
      <c r="J165" s="2482"/>
      <c r="K165" s="2482"/>
      <c r="L165" s="2483"/>
      <c r="M165" s="2482"/>
      <c r="N165" s="2482"/>
      <c r="O165" s="2483"/>
      <c r="P165" s="2482"/>
      <c r="Q165" s="2482"/>
      <c r="R165" s="2484"/>
    </row>
    <row r="166" spans="2:18" s="799" customFormat="1">
      <c r="B166" s="2482"/>
      <c r="C166" s="2482"/>
      <c r="D166" s="2482"/>
      <c r="E166" s="2482"/>
      <c r="F166" s="2482"/>
      <c r="G166" s="2483"/>
      <c r="H166" s="2482"/>
      <c r="I166" s="2483"/>
      <c r="J166" s="2482"/>
      <c r="K166" s="2482"/>
      <c r="L166" s="2483"/>
      <c r="M166" s="2482"/>
      <c r="N166" s="2482"/>
      <c r="O166" s="2483"/>
      <c r="P166" s="2482"/>
      <c r="Q166" s="2482"/>
      <c r="R166" s="2484"/>
    </row>
    <row r="167" spans="2:18" s="799" customFormat="1">
      <c r="B167" s="2482"/>
      <c r="C167" s="2482"/>
      <c r="D167" s="2482"/>
      <c r="E167" s="2482"/>
      <c r="F167" s="2482"/>
      <c r="G167" s="2483"/>
      <c r="H167" s="2482"/>
      <c r="I167" s="2483"/>
      <c r="J167" s="2482"/>
      <c r="K167" s="2482"/>
      <c r="L167" s="2483"/>
      <c r="M167" s="2482"/>
      <c r="N167" s="2482"/>
      <c r="O167" s="2483"/>
      <c r="P167" s="2482"/>
      <c r="Q167" s="2482"/>
      <c r="R167" s="2484"/>
    </row>
    <row r="168" spans="2:18" s="799" customFormat="1">
      <c r="B168" s="2482"/>
      <c r="C168" s="2482"/>
      <c r="D168" s="2482"/>
      <c r="E168" s="2482"/>
      <c r="F168" s="2482"/>
      <c r="G168" s="2483"/>
      <c r="H168" s="2482"/>
      <c r="I168" s="2483"/>
      <c r="J168" s="2482"/>
      <c r="K168" s="2482"/>
      <c r="L168" s="2483"/>
      <c r="M168" s="2482"/>
      <c r="N168" s="2482"/>
      <c r="O168" s="2483"/>
      <c r="P168" s="2482"/>
      <c r="Q168" s="2482"/>
      <c r="R168" s="2484"/>
    </row>
    <row r="169" spans="2:18" s="799" customFormat="1">
      <c r="B169" s="2482"/>
      <c r="C169" s="2482"/>
      <c r="D169" s="2482"/>
      <c r="E169" s="2482"/>
      <c r="F169" s="2482"/>
      <c r="G169" s="2483"/>
      <c r="H169" s="2482"/>
      <c r="I169" s="2483"/>
      <c r="J169" s="2482"/>
      <c r="K169" s="2482"/>
      <c r="L169" s="2483"/>
      <c r="M169" s="2482"/>
      <c r="N169" s="2482"/>
      <c r="O169" s="2483"/>
      <c r="P169" s="2482"/>
      <c r="Q169" s="2482"/>
      <c r="R169" s="2484"/>
    </row>
    <row r="170" spans="2:18" s="799" customFormat="1">
      <c r="B170" s="2482"/>
      <c r="C170" s="2482"/>
      <c r="D170" s="2482"/>
      <c r="E170" s="2482"/>
      <c r="F170" s="2482"/>
      <c r="G170" s="2483"/>
      <c r="H170" s="2482"/>
      <c r="I170" s="2483"/>
      <c r="J170" s="2482"/>
      <c r="K170" s="2482"/>
      <c r="L170" s="2483"/>
      <c r="M170" s="2482"/>
      <c r="N170" s="2482"/>
      <c r="O170" s="2483"/>
      <c r="P170" s="2482"/>
      <c r="Q170" s="2482"/>
      <c r="R170" s="2484"/>
    </row>
    <row r="171" spans="2:18" s="799" customFormat="1">
      <c r="B171" s="2482"/>
      <c r="C171" s="2482"/>
      <c r="D171" s="2482"/>
      <c r="E171" s="2482"/>
      <c r="F171" s="2482"/>
      <c r="G171" s="2483"/>
      <c r="H171" s="2482"/>
      <c r="I171" s="2483"/>
      <c r="J171" s="2482"/>
      <c r="K171" s="2482"/>
      <c r="L171" s="2483"/>
      <c r="M171" s="2482"/>
      <c r="N171" s="2482"/>
      <c r="O171" s="2483"/>
      <c r="P171" s="2482"/>
      <c r="Q171" s="2482"/>
      <c r="R171" s="2484"/>
    </row>
    <row r="172" spans="2:18" s="799" customFormat="1">
      <c r="B172" s="2482"/>
      <c r="C172" s="2482"/>
      <c r="D172" s="2482"/>
      <c r="E172" s="2482"/>
      <c r="F172" s="2482"/>
      <c r="G172" s="2483"/>
      <c r="H172" s="2482"/>
      <c r="I172" s="2483"/>
      <c r="J172" s="2482"/>
      <c r="K172" s="2482"/>
      <c r="L172" s="2483"/>
      <c r="M172" s="2482"/>
      <c r="N172" s="2482"/>
      <c r="O172" s="2483"/>
      <c r="P172" s="2482"/>
      <c r="Q172" s="2482"/>
      <c r="R172" s="2484"/>
    </row>
    <row r="173" spans="2:18" s="799" customFormat="1">
      <c r="B173" s="2482"/>
      <c r="C173" s="2482"/>
      <c r="D173" s="2482"/>
      <c r="E173" s="2482"/>
      <c r="F173" s="2482"/>
      <c r="G173" s="2483"/>
      <c r="H173" s="2482"/>
      <c r="I173" s="2483"/>
      <c r="J173" s="2482"/>
      <c r="K173" s="2482"/>
      <c r="L173" s="2483"/>
      <c r="M173" s="2482"/>
      <c r="N173" s="2482"/>
      <c r="O173" s="2483"/>
      <c r="P173" s="2482"/>
      <c r="Q173" s="2482"/>
      <c r="R173" s="2484"/>
    </row>
    <row r="174" spans="2:18" s="799" customFormat="1">
      <c r="B174" s="2482"/>
      <c r="C174" s="2482"/>
      <c r="D174" s="2482"/>
      <c r="E174" s="2482"/>
      <c r="F174" s="2482"/>
      <c r="G174" s="2483"/>
      <c r="H174" s="2482"/>
      <c r="I174" s="2483"/>
      <c r="J174" s="2482"/>
      <c r="K174" s="2482"/>
      <c r="L174" s="2483"/>
      <c r="M174" s="2482"/>
      <c r="N174" s="2482"/>
      <c r="O174" s="2483"/>
      <c r="P174" s="2482"/>
      <c r="Q174" s="2482"/>
      <c r="R174" s="2484"/>
    </row>
    <row r="175" spans="2:18" s="799" customFormat="1">
      <c r="B175" s="2482"/>
      <c r="C175" s="2482"/>
      <c r="D175" s="2482"/>
      <c r="E175" s="2482"/>
      <c r="F175" s="2482"/>
      <c r="G175" s="2483"/>
      <c r="H175" s="2482"/>
      <c r="I175" s="2483"/>
      <c r="J175" s="2482"/>
      <c r="K175" s="2482"/>
      <c r="L175" s="2483"/>
      <c r="M175" s="2482"/>
      <c r="N175" s="2482"/>
      <c r="O175" s="2483"/>
      <c r="P175" s="2482"/>
      <c r="Q175" s="2482"/>
      <c r="R175" s="2484"/>
    </row>
    <row r="176" spans="2:18" s="799" customFormat="1">
      <c r="B176" s="2482"/>
      <c r="C176" s="2482"/>
      <c r="D176" s="2482"/>
      <c r="E176" s="2482"/>
      <c r="F176" s="2482"/>
      <c r="G176" s="2483"/>
      <c r="H176" s="2482"/>
      <c r="I176" s="2483"/>
      <c r="J176" s="2482"/>
      <c r="K176" s="2482"/>
      <c r="L176" s="2483"/>
      <c r="M176" s="2482"/>
      <c r="N176" s="2482"/>
      <c r="O176" s="2483"/>
      <c r="P176" s="2482"/>
      <c r="Q176" s="2482"/>
      <c r="R176" s="2484"/>
    </row>
    <row r="177" spans="1:18" s="799" customFormat="1">
      <c r="B177" s="2482"/>
      <c r="C177" s="2482"/>
      <c r="D177" s="2482"/>
      <c r="E177" s="2482"/>
      <c r="F177" s="2482"/>
      <c r="G177" s="2483"/>
      <c r="H177" s="2482"/>
      <c r="I177" s="2483"/>
      <c r="J177" s="2482"/>
      <c r="K177" s="2482"/>
      <c r="L177" s="2483"/>
      <c r="M177" s="2482"/>
      <c r="N177" s="2482"/>
      <c r="O177" s="2483"/>
      <c r="P177" s="2482"/>
      <c r="Q177" s="2482"/>
      <c r="R177" s="2484"/>
    </row>
    <row r="178" spans="1:18" s="799" customFormat="1">
      <c r="B178" s="2482"/>
      <c r="C178" s="2482"/>
      <c r="D178" s="2482"/>
      <c r="E178" s="2482"/>
      <c r="F178" s="2482"/>
      <c r="G178" s="2483"/>
      <c r="H178" s="2482"/>
      <c r="I178" s="2483"/>
      <c r="J178" s="2482"/>
      <c r="K178" s="2482"/>
      <c r="L178" s="2483"/>
      <c r="M178" s="2482"/>
      <c r="N178" s="2482"/>
      <c r="O178" s="2483"/>
      <c r="P178" s="2482"/>
      <c r="Q178" s="2482"/>
      <c r="R178" s="2484"/>
    </row>
    <row r="179" spans="1:18" s="799" customFormat="1">
      <c r="B179" s="2482"/>
      <c r="C179" s="2482"/>
      <c r="D179" s="2482"/>
      <c r="E179" s="2482"/>
      <c r="F179" s="2482"/>
      <c r="G179" s="2483"/>
      <c r="H179" s="2482"/>
      <c r="I179" s="2483"/>
      <c r="J179" s="2482"/>
      <c r="K179" s="2482"/>
      <c r="L179" s="2483"/>
      <c r="M179" s="2482"/>
      <c r="N179" s="2482"/>
      <c r="O179" s="2483"/>
      <c r="P179" s="2482"/>
      <c r="Q179" s="2482"/>
      <c r="R179" s="2484"/>
    </row>
    <row r="180" spans="1:18" s="799" customFormat="1">
      <c r="B180" s="2482"/>
      <c r="C180" s="2482"/>
      <c r="D180" s="2482"/>
      <c r="E180" s="2482"/>
      <c r="F180" s="2482"/>
      <c r="G180" s="2483"/>
      <c r="H180" s="2482"/>
      <c r="I180" s="2483"/>
      <c r="J180" s="2482"/>
      <c r="K180" s="2482"/>
      <c r="L180" s="2483"/>
      <c r="M180" s="2482"/>
      <c r="N180" s="2482"/>
      <c r="O180" s="2483"/>
      <c r="P180" s="2482"/>
      <c r="Q180" s="2482"/>
      <c r="R180" s="2484"/>
    </row>
    <row r="181" spans="1:18" s="799" customFormat="1">
      <c r="B181" s="2482"/>
      <c r="C181" s="2482"/>
      <c r="D181" s="2482"/>
      <c r="E181" s="2482"/>
      <c r="F181" s="2482"/>
      <c r="G181" s="2483"/>
      <c r="H181" s="2482"/>
      <c r="I181" s="2483"/>
      <c r="J181" s="2482"/>
      <c r="K181" s="2482"/>
      <c r="L181" s="2483"/>
      <c r="M181" s="2482"/>
      <c r="N181" s="2482"/>
      <c r="O181" s="2483"/>
      <c r="P181" s="2482"/>
      <c r="Q181" s="2482"/>
      <c r="R181" s="2484"/>
    </row>
    <row r="182" spans="1:18" s="799" customFormat="1">
      <c r="B182" s="2482"/>
      <c r="C182" s="2482"/>
      <c r="D182" s="2482"/>
      <c r="E182" s="2482"/>
      <c r="F182" s="2482"/>
      <c r="G182" s="2483"/>
      <c r="H182" s="2482"/>
      <c r="I182" s="2483"/>
      <c r="J182" s="2482"/>
      <c r="K182" s="2482"/>
      <c r="L182" s="2483"/>
      <c r="M182" s="2482"/>
      <c r="N182" s="2482"/>
      <c r="O182" s="2483"/>
      <c r="P182" s="2482"/>
      <c r="Q182" s="2482"/>
      <c r="R182" s="2484"/>
    </row>
    <row r="183" spans="1:18" s="799" customFormat="1">
      <c r="B183" s="2482"/>
      <c r="C183" s="2482"/>
      <c r="D183" s="2482"/>
      <c r="E183" s="2482"/>
      <c r="F183" s="2482"/>
      <c r="G183" s="2483"/>
      <c r="H183" s="2482"/>
      <c r="I183" s="2483"/>
      <c r="J183" s="2482"/>
      <c r="K183" s="2482"/>
      <c r="L183" s="2483"/>
      <c r="M183" s="2482"/>
      <c r="N183" s="2482"/>
      <c r="O183" s="2483"/>
      <c r="P183" s="2482"/>
      <c r="Q183" s="2482"/>
      <c r="R183" s="2484"/>
    </row>
    <row r="184" spans="1:18" s="799" customFormat="1">
      <c r="B184" s="2482"/>
      <c r="C184" s="2482"/>
      <c r="D184" s="2482"/>
      <c r="E184" s="2482"/>
      <c r="F184" s="2482"/>
      <c r="G184" s="2483"/>
      <c r="H184" s="2482"/>
      <c r="I184" s="2483"/>
      <c r="J184" s="2482"/>
      <c r="K184" s="2482"/>
      <c r="L184" s="2483"/>
      <c r="M184" s="2482"/>
      <c r="N184" s="2482"/>
      <c r="O184" s="2483"/>
      <c r="P184" s="2482"/>
      <c r="Q184" s="2482"/>
      <c r="R184" s="2484"/>
    </row>
    <row r="185" spans="1:18" s="799"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9"/>
      <c r="B186" s="2482"/>
      <c r="C186" s="2482"/>
      <c r="E186" s="2482"/>
      <c r="F186" s="2482"/>
      <c r="G186" s="2483"/>
    </row>
    <row r="187" spans="1:18">
      <c r="A187" s="799"/>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181504.76</v>
      </c>
      <c r="C1" s="2677"/>
      <c r="D1" s="2677"/>
      <c r="E1" s="2677"/>
      <c r="F1" s="2677"/>
      <c r="G1" s="2678"/>
      <c r="H1" s="2679"/>
      <c r="I1" s="2679"/>
      <c r="J1" s="2679"/>
      <c r="K1" s="2679"/>
    </row>
    <row r="2" spans="1:11" ht="16.5">
      <c r="A2" s="2503" t="s">
        <v>653</v>
      </c>
      <c r="B2" s="2503">
        <f>SUM(C14:C23)</f>
        <v>59994.479999999996</v>
      </c>
      <c r="C2" s="2677"/>
      <c r="D2" s="2677"/>
      <c r="E2" s="2677"/>
      <c r="F2" s="2677"/>
      <c r="G2" s="2678"/>
      <c r="H2" s="2679"/>
      <c r="I2" s="2679"/>
      <c r="J2" s="2679"/>
      <c r="K2" s="2679"/>
    </row>
    <row r="3" spans="1:11" ht="16.5">
      <c r="A3" s="2503" t="s">
        <v>662</v>
      </c>
      <c r="B3" s="2505">
        <f>项目基本情况!D3</f>
        <v>45124</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200079</v>
      </c>
      <c r="C5" s="2503">
        <f ca="1">IF(B5=D14,结果表!H102,ROUND(B5*10000/$B$1,0))</f>
        <v>11023</v>
      </c>
      <c r="D5" s="2503">
        <f ca="1">ROUND(B5*10000/$B$2,0)</f>
        <v>33350</v>
      </c>
      <c r="E5" s="2677"/>
      <c r="F5" s="2678"/>
      <c r="G5" s="2678"/>
      <c r="H5" s="2679"/>
      <c r="I5" s="2679"/>
      <c r="J5" s="2679"/>
      <c r="K5" s="2679"/>
    </row>
    <row r="6" spans="1:11" ht="16.5">
      <c r="A6" s="2503" t="s">
        <v>656</v>
      </c>
      <c r="B6" s="2503">
        <f ca="1">SUM(G14:G23)</f>
        <v>200079</v>
      </c>
      <c r="C6" s="2503">
        <f ca="1">IF(B6=G14,结果表!H108,ROUND(B6*10000/$B$1,0))</f>
        <v>11023</v>
      </c>
      <c r="D6" s="2503">
        <f ca="1">ROUND(B6*10000/$B$2,0)</f>
        <v>33350</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3354</v>
      </c>
      <c r="D10" s="2503" t="s">
        <v>3355</v>
      </c>
      <c r="E10" s="3432"/>
      <c r="F10" s="3436" t="s">
        <v>3356</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155268.5</v>
      </c>
      <c r="C14" s="2509">
        <f>结果表!C118</f>
        <v>53629.25</v>
      </c>
      <c r="D14" s="2509">
        <f ca="1">结果表!H118</f>
        <v>188794</v>
      </c>
      <c r="E14" s="2509">
        <f ca="1">ROUND(D14*10000/B14,0)</f>
        <v>12159</v>
      </c>
      <c r="F14" s="2509">
        <f ca="1">ROUND(D14*10000/C14,0)</f>
        <v>35204</v>
      </c>
      <c r="G14" s="2509">
        <f ca="1">D14</f>
        <v>188794</v>
      </c>
      <c r="H14" s="2509"/>
      <c r="I14" s="2509"/>
      <c r="J14" s="2678"/>
      <c r="K14" s="2679"/>
    </row>
    <row r="15" spans="1:11" ht="16.5">
      <c r="A15" s="2508" t="s">
        <v>649</v>
      </c>
      <c r="B15" s="2509">
        <f>[3]系统读取表!$B$14</f>
        <v>26236.260000000002</v>
      </c>
      <c r="C15" s="2509">
        <f>[3]系统读取表!$C$14</f>
        <v>6365.23</v>
      </c>
      <c r="D15" s="2509">
        <f ca="1">[3]系统读取表!$D$14</f>
        <v>11285</v>
      </c>
      <c r="E15" s="2509">
        <f t="shared" ref="E15:E23" ca="1" si="0">ROUND(D15*10000/B15,0)</f>
        <v>4301</v>
      </c>
      <c r="F15" s="2509">
        <f t="shared" ref="F15:F23" ca="1" si="1">ROUND(D15*10000/C15,0)</f>
        <v>17729</v>
      </c>
      <c r="G15" s="1328">
        <f ca="1">D15</f>
        <v>11285</v>
      </c>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6" zoomScaleNormal="100" zoomScaleSheetLayoutView="100" zoomScalePageLayoutView="80" workbookViewId="0">
      <selection activeCell="D118" sqref="D118:I118"/>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t="s">
        <v>3475</v>
      </c>
      <c r="H1" s="1747" t="str">
        <f>IF(G1="现房","——","估价对象范围")</f>
        <v>——</v>
      </c>
      <c r="I1" s="1748" t="s">
        <v>3476</v>
      </c>
    </row>
    <row r="2" spans="1:12" ht="21.75" customHeight="1" thickBot="1">
      <c r="A2" s="3676" t="str">
        <f>项目基本情况!S2</f>
        <v>北京市房地产</v>
      </c>
      <c r="B2" s="3677"/>
      <c r="C2" s="3677"/>
      <c r="D2" s="3677"/>
      <c r="E2" s="3677"/>
      <c r="F2" s="3677"/>
      <c r="G2" s="3677"/>
      <c r="H2" s="3677"/>
      <c r="I2" s="3678"/>
    </row>
    <row r="3" spans="1:12" ht="12.75">
      <c r="A3" s="3680" t="s">
        <v>1264</v>
      </c>
      <c r="B3" s="3681"/>
      <c r="C3" s="3681"/>
      <c r="D3" s="3681"/>
      <c r="E3" s="3681"/>
      <c r="F3" s="3681"/>
      <c r="G3" s="3681"/>
      <c r="H3" s="3681"/>
      <c r="I3" s="3681"/>
    </row>
    <row r="4" spans="1:12" ht="14.25">
      <c r="A4" s="1751" t="s">
        <v>1265</v>
      </c>
      <c r="B4" s="1752" t="s">
        <v>1266</v>
      </c>
      <c r="C4" s="1753" t="s">
        <v>3464</v>
      </c>
      <c r="D4" s="1753" t="s">
        <v>3672</v>
      </c>
      <c r="E4" s="3685" t="s">
        <v>1267</v>
      </c>
      <c r="F4" s="3686"/>
      <c r="G4" s="3686"/>
      <c r="H4" s="3686"/>
      <c r="I4" s="36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24" t="s">
        <v>1268</v>
      </c>
      <c r="B5" s="3679">
        <v>25</v>
      </c>
      <c r="C5" s="3682"/>
      <c r="D5" s="3670"/>
      <c r="E5" s="131" t="s">
        <v>1269</v>
      </c>
      <c r="F5" s="1754"/>
      <c r="G5" s="1754"/>
      <c r="H5" s="1754"/>
      <c r="I5" s="1370"/>
    </row>
    <row r="6" spans="1:12" ht="12.75">
      <c r="A6" s="3624"/>
      <c r="B6" s="3679"/>
      <c r="C6" s="3684"/>
      <c r="D6" s="3670"/>
      <c r="E6" s="131" t="s">
        <v>1270</v>
      </c>
      <c r="F6" s="1754"/>
      <c r="G6" s="1754"/>
      <c r="H6" s="1754"/>
      <c r="I6" s="1370"/>
    </row>
    <row r="7" spans="1:12" ht="12.75">
      <c r="A7" s="3624"/>
      <c r="B7" s="3679"/>
      <c r="C7" s="3683"/>
      <c r="D7" s="3670"/>
      <c r="E7" s="131" t="s">
        <v>1271</v>
      </c>
      <c r="F7" s="1754"/>
      <c r="G7" s="1754"/>
      <c r="H7" s="1754"/>
      <c r="I7" s="1370"/>
    </row>
    <row r="8" spans="1:12" ht="12.75">
      <c r="A8" s="3624" t="s">
        <v>1272</v>
      </c>
      <c r="B8" s="3679">
        <v>15</v>
      </c>
      <c r="C8" s="3682"/>
      <c r="D8" s="3670"/>
      <c r="E8" s="131" t="s">
        <v>1273</v>
      </c>
      <c r="F8" s="1754"/>
      <c r="G8" s="1754"/>
      <c r="H8" s="1754"/>
      <c r="I8" s="1370"/>
    </row>
    <row r="9" spans="1:12" ht="12.75">
      <c r="A9" s="3624"/>
      <c r="B9" s="3679"/>
      <c r="C9" s="3683"/>
      <c r="D9" s="3670"/>
      <c r="E9" s="131" t="s">
        <v>1274</v>
      </c>
      <c r="F9" s="1754"/>
      <c r="G9" s="1754"/>
      <c r="H9" s="1754"/>
      <c r="I9" s="1370"/>
    </row>
    <row r="10" spans="1:12" ht="12.75">
      <c r="A10" s="3624" t="s">
        <v>1275</v>
      </c>
      <c r="B10" s="3679">
        <v>15</v>
      </c>
      <c r="C10" s="3682"/>
      <c r="D10" s="3670"/>
      <c r="E10" s="131" t="s">
        <v>1276</v>
      </c>
      <c r="F10" s="1754"/>
      <c r="G10" s="1754"/>
      <c r="H10" s="1754"/>
      <c r="I10" s="1370"/>
    </row>
    <row r="11" spans="1:12" ht="12.75">
      <c r="A11" s="3624"/>
      <c r="B11" s="3679"/>
      <c r="C11" s="3683"/>
      <c r="D11" s="3670"/>
      <c r="E11" s="131" t="s">
        <v>1277</v>
      </c>
      <c r="F11" s="1754"/>
      <c r="G11" s="1754"/>
      <c r="H11" s="1754"/>
      <c r="I11" s="1370"/>
    </row>
    <row r="12" spans="1:12" ht="12.75">
      <c r="A12" s="3624" t="s">
        <v>1278</v>
      </c>
      <c r="B12" s="3679">
        <v>15</v>
      </c>
      <c r="C12" s="3682"/>
      <c r="D12" s="3670"/>
      <c r="E12" s="131" t="s">
        <v>1279</v>
      </c>
      <c r="F12" s="1754"/>
      <c r="G12" s="1754"/>
      <c r="H12" s="1754"/>
      <c r="I12" s="1370"/>
    </row>
    <row r="13" spans="1:12" ht="12.75">
      <c r="A13" s="3624"/>
      <c r="B13" s="3679"/>
      <c r="C13" s="3683"/>
      <c r="D13" s="3670"/>
      <c r="E13" s="131" t="s">
        <v>1280</v>
      </c>
      <c r="F13" s="1754"/>
      <c r="G13" s="1754"/>
      <c r="H13" s="1754"/>
      <c r="I13" s="1370"/>
    </row>
    <row r="14" spans="1:12" ht="12.75">
      <c r="A14" s="3624" t="s">
        <v>1281</v>
      </c>
      <c r="B14" s="3679">
        <v>30</v>
      </c>
      <c r="C14" s="3682">
        <v>4</v>
      </c>
      <c r="D14" s="3670">
        <v>6</v>
      </c>
      <c r="E14" s="131" t="s">
        <v>1282</v>
      </c>
      <c r="F14" s="1754"/>
      <c r="G14" s="1754"/>
      <c r="H14" s="1754"/>
      <c r="I14" s="1370"/>
    </row>
    <row r="15" spans="1:12" ht="12.75">
      <c r="A15" s="3624"/>
      <c r="B15" s="3679"/>
      <c r="C15" s="3684"/>
      <c r="D15" s="3670"/>
      <c r="E15" s="131" t="s">
        <v>1283</v>
      </c>
      <c r="F15" s="1754"/>
      <c r="G15" s="1754"/>
      <c r="H15" s="1754"/>
      <c r="I15" s="1370"/>
    </row>
    <row r="16" spans="1:12" ht="12.75">
      <c r="A16" s="3624"/>
      <c r="B16" s="3679"/>
      <c r="C16" s="3683"/>
      <c r="D16" s="3670"/>
      <c r="E16" s="131" t="s">
        <v>1284</v>
      </c>
      <c r="F16" s="1754"/>
      <c r="G16" s="1754"/>
      <c r="H16" s="1754"/>
      <c r="I16" s="1370"/>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701" t="s">
        <v>2127</v>
      </c>
      <c r="F18" s="3702"/>
      <c r="G18" s="3702"/>
      <c r="H18" s="3702"/>
      <c r="I18" s="3702"/>
      <c r="K18" s="302" t="s">
        <v>1289</v>
      </c>
      <c r="L18" s="302">
        <f>IF(C1="",'数据-汇总表'!E3,SUMIF(项目类型,C1,'数据-汇总表'!E17:E26)+SUMIF(项目类型,C1,'数据-汇总表'!I17:I26))</f>
        <v>155268.5</v>
      </c>
      <c r="M18" s="302">
        <f>IF(C1="",'数据-汇总表'!E3,SUMIF(项目类型,C1,'数据-汇总表'!E17:E26))</f>
        <v>155268.5</v>
      </c>
    </row>
    <row r="19" spans="1:36" ht="15">
      <c r="A19" s="1758" t="s">
        <v>1290</v>
      </c>
      <c r="B19" s="1759" t="s">
        <v>1291</v>
      </c>
      <c r="C19" s="134">
        <f ca="1">SUMIF(INDIRECT("'"&amp;C4&amp;"'"&amp;"!A:A"),结果表!B19,INDIRECT("'"&amp;C4&amp;"'"&amp;"!B:B"))</f>
        <v>244338</v>
      </c>
      <c r="D19" s="135">
        <f ca="1">SUMIF(INDIRECT("'"&amp;D4&amp;"'"&amp;"!A:A"),结果表!B19,INDIRECT("'"&amp;D4&amp;"'"&amp;"!B:B"))</f>
        <v>151764</v>
      </c>
      <c r="E19" s="1758" t="s">
        <v>1292</v>
      </c>
      <c r="F19" s="1759" t="s">
        <v>1291</v>
      </c>
      <c r="G19" s="136">
        <f ca="1">ROUND(C19*$C$18+D19*$D$18,0)</f>
        <v>188794</v>
      </c>
      <c r="H19" s="1760" t="s">
        <v>1293</v>
      </c>
      <c r="I19" s="129"/>
      <c r="K19" s="302" t="s">
        <v>1294</v>
      </c>
      <c r="L19" s="302">
        <f>IF(C1="",'数据-汇总表'!D3,SUMIF(项目类型,C1,'数据-汇总表'!D17:D26)+SUMIF(项目类型,C1,'数据-汇总表'!H17:H27))</f>
        <v>53629.25</v>
      </c>
      <c r="M19" s="302">
        <f>IF(C1="",'数据-汇总表'!D3,SUMIF(项目类型,C1,'数据-汇总表'!D17:D26))</f>
        <v>53629.25</v>
      </c>
    </row>
    <row r="20" spans="1:36" ht="15">
      <c r="A20" s="1761"/>
      <c r="B20" s="1026" t="s">
        <v>1295</v>
      </c>
      <c r="C20" s="137">
        <f ca="1">SUMIF(INDIRECT("'"&amp;C4&amp;"'"&amp;"!A:A"),结果表!B20,INDIRECT("'"&amp;C4&amp;"'"&amp;"!B:B"))</f>
        <v>15736</v>
      </c>
      <c r="D20" s="138">
        <f ca="1">SUMIF(INDIRECT("'"&amp;D4&amp;"'"&amp;"!A:A"),结果表!B20,INDIRECT("'"&amp;D4&amp;"'"&amp;"!B:B"))</f>
        <v>9774</v>
      </c>
      <c r="E20" s="1761"/>
      <c r="F20" s="1026" t="s">
        <v>1295</v>
      </c>
      <c r="G20" s="139">
        <f ca="1">ROUND(C20*$C$18+D20*$D$18,0)</f>
        <v>12159</v>
      </c>
      <c r="H20" s="808" t="s">
        <v>1296</v>
      </c>
      <c r="I20" s="129"/>
    </row>
    <row r="21" spans="1:36" ht="15" customHeight="1" thickBot="1">
      <c r="A21" s="828"/>
      <c r="B21" s="1762" t="s">
        <v>1297</v>
      </c>
      <c r="C21" s="719">
        <f ca="1">ROUND(C19*10000/L19,0)</f>
        <v>45561</v>
      </c>
      <c r="D21" s="720">
        <f ca="1">ROUND(D19*10000/L19,0)</f>
        <v>28299</v>
      </c>
      <c r="E21" s="828"/>
      <c r="F21" s="1762" t="s">
        <v>1297</v>
      </c>
      <c r="G21" s="140">
        <f ca="1">ROUND(G19*10000/L19,0)</f>
        <v>35204</v>
      </c>
      <c r="H21" s="1763" t="s">
        <v>1296</v>
      </c>
      <c r="I21" s="129"/>
    </row>
    <row r="22" spans="1:36" ht="15" thickBot="1">
      <c r="A22" s="1685" t="s">
        <v>1298</v>
      </c>
      <c r="B22" s="1764"/>
      <c r="C22" s="1765"/>
      <c r="D22" s="721">
        <f ca="1">IF(C19&lt;D19,D19/C19-1,C19/D19-1)</f>
        <v>0.6099865580770143</v>
      </c>
      <c r="E22" s="129"/>
      <c r="F22" s="129"/>
      <c r="G22" s="129"/>
      <c r="H22" s="129"/>
      <c r="I22" s="129"/>
    </row>
    <row r="23" spans="1:36" ht="13.5" thickBot="1">
      <c r="A23" s="1744"/>
      <c r="B23" s="1744"/>
      <c r="C23" s="1744"/>
      <c r="D23" s="1744"/>
      <c r="E23" s="129"/>
      <c r="F23" s="129"/>
      <c r="G23" s="129"/>
      <c r="H23" s="129"/>
      <c r="I23" s="129"/>
    </row>
    <row r="24" spans="1:36" ht="14.25">
      <c r="A24" s="3694" t="s">
        <v>1299</v>
      </c>
      <c r="B24" s="1759" t="s">
        <v>1291</v>
      </c>
      <c r="C24" s="136">
        <f>IF(B30=0,0,D30)</f>
        <v>0</v>
      </c>
      <c r="D24" s="1766"/>
      <c r="E24" s="129"/>
      <c r="F24" s="129"/>
      <c r="G24" s="129"/>
      <c r="H24" s="129"/>
      <c r="I24" s="129"/>
    </row>
    <row r="25" spans="1:36" ht="14.25">
      <c r="A25" s="3695"/>
      <c r="B25" s="1026"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6" t="s">
        <v>2128</v>
      </c>
      <c r="F30" s="129"/>
      <c r="G30" s="129"/>
      <c r="H30" s="129"/>
      <c r="I30" s="129"/>
    </row>
    <row r="31" spans="1:36" s="2302" customFormat="1" ht="26.45" customHeight="1" thickTop="1" thickBot="1">
      <c r="A31" s="2297"/>
      <c r="B31" s="2298"/>
      <c r="C31" s="2298"/>
      <c r="D31" s="2298"/>
      <c r="E31" s="2298"/>
      <c r="F31" s="2298"/>
      <c r="G31" s="2298"/>
      <c r="H31" s="2298"/>
      <c r="I31" s="2299" t="s">
        <v>2129</v>
      </c>
      <c r="J31" s="2680"/>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70" t="s">
        <v>1305</v>
      </c>
      <c r="B32" s="1771"/>
      <c r="C32" s="144">
        <f ca="1">IF(D32="总价",G19-C24,G20-C25)</f>
        <v>188794</v>
      </c>
      <c r="D32" s="1772" t="s">
        <v>3466</v>
      </c>
      <c r="E32" s="129"/>
      <c r="F32" s="129"/>
      <c r="G32" s="129"/>
      <c r="H32" s="129"/>
      <c r="I32" s="129"/>
    </row>
    <row r="33" spans="1:15" ht="15">
      <c r="A33" s="786" t="s">
        <v>1306</v>
      </c>
      <c r="B33" s="1773"/>
      <c r="C33" s="1774" t="s">
        <v>3465</v>
      </c>
      <c r="D33" s="1775" t="s">
        <v>3464</v>
      </c>
      <c r="E33" s="1776" t="s">
        <v>1307</v>
      </c>
      <c r="F33" s="1777" t="str">
        <f>IF(D32="楼面单价","取值（单价）","取值（总价）")</f>
        <v>取值（总价）</v>
      </c>
      <c r="G33" s="129"/>
      <c r="H33" s="129"/>
      <c r="I33" s="129"/>
    </row>
    <row r="34" spans="1:15" ht="15">
      <c r="A34" s="1778"/>
      <c r="B34" s="1779" t="s">
        <v>1308</v>
      </c>
      <c r="C34" s="148">
        <f ca="1">IF(C33="自定义",F34,C32-C35)</f>
        <v>155566</v>
      </c>
      <c r="D34" s="861">
        <f ca="1">IF(C33="自定义",ROUND(C34/C32,3),IF(C33="收益比率",SUMIF(INDIRECT("'"&amp;D33&amp;"'"&amp;"!b:b"),"土地收益比率",INDIRECT("'"&amp;D33&amp;"'"&amp;"!c:c")),SUMIF(INDIRECT("'"&amp;D33&amp;"'"&amp;"!b:b"),"土地成本比率",INDIRECT("'"&amp;D33&amp;"'"&amp;"!c:c"))))</f>
        <v>0.82400000000000007</v>
      </c>
      <c r="E34" s="1780" t="s">
        <v>1309</v>
      </c>
      <c r="F34" s="1327"/>
      <c r="G34" s="129"/>
      <c r="H34" s="129"/>
      <c r="I34" s="129"/>
    </row>
    <row r="35" spans="1:15" ht="15.75" thickBot="1">
      <c r="A35" s="1781"/>
      <c r="B35" s="1782" t="s">
        <v>1310</v>
      </c>
      <c r="C35" s="1170">
        <f ca="1">IF(C33="自定义",F35,ROUND(C32*D35,0))</f>
        <v>33228</v>
      </c>
      <c r="D35" s="1171">
        <f ca="1">IF(C33="自定义",ROUND(C35/C32,3),IF(C33="收益比率",SUMIF(INDIRECT("'"&amp;D33&amp;"'"&amp;"!b:b"),"建筑物收益比率",INDIRECT("'"&amp;D33&amp;"'"&amp;"!c:c")),SUMIF(INDIRECT("'"&amp;D33&amp;"'"&amp;"!b:b"),"建筑物成本比率",INDIRECT("'"&amp;D33&amp;"'"&amp;"!c:c"))))</f>
        <v>0.17599999999999999</v>
      </c>
      <c r="E35" s="1783" t="s">
        <v>1311</v>
      </c>
      <c r="F35" s="154"/>
      <c r="G35" s="129"/>
      <c r="H35" s="129"/>
      <c r="I35" s="129"/>
    </row>
    <row r="36" spans="1:15" ht="15.75" thickBot="1">
      <c r="A36" s="3671" t="s">
        <v>1312</v>
      </c>
      <c r="B36" s="1784" t="s">
        <v>1313</v>
      </c>
      <c r="C36" s="145"/>
      <c r="D36" s="1785"/>
      <c r="E36" s="1786"/>
      <c r="F36" s="1787"/>
      <c r="G36" s="129"/>
      <c r="H36" s="129"/>
      <c r="I36" s="129"/>
    </row>
    <row r="37" spans="1:15" ht="15.75" thickBot="1">
      <c r="A37" s="3672"/>
      <c r="B37" s="1671" t="s">
        <v>1314</v>
      </c>
      <c r="C37" s="147"/>
      <c r="D37" s="1139"/>
      <c r="E37" s="1139"/>
      <c r="F37" s="1787"/>
      <c r="G37" s="129"/>
      <c r="H37" s="129"/>
      <c r="I37" s="129"/>
    </row>
    <row r="38" spans="1:15" ht="15.75" thickBot="1">
      <c r="A38" s="3673"/>
      <c r="B38" s="1788" t="s">
        <v>1315</v>
      </c>
      <c r="C38" s="674"/>
      <c r="D38" s="1789" t="s">
        <v>1316</v>
      </c>
      <c r="E38" s="1139"/>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91" t="s">
        <v>1326</v>
      </c>
      <c r="B45" s="3692"/>
      <c r="C45" s="3693"/>
      <c r="D45" s="155">
        <f ca="1">ROUND(H101*F45,0)</f>
        <v>105725</v>
      </c>
      <c r="E45" s="156" t="s">
        <v>1327</v>
      </c>
      <c r="F45" s="157">
        <v>0.56000000000000005</v>
      </c>
      <c r="G45" s="158" t="s">
        <v>1328</v>
      </c>
      <c r="H45" s="129"/>
      <c r="I45" s="129"/>
      <c r="J45" s="3611" t="s">
        <v>1329</v>
      </c>
      <c r="K45" s="3611"/>
      <c r="L45" s="3611"/>
      <c r="M45" s="3611"/>
      <c r="N45" s="3611"/>
      <c r="O45" s="3611"/>
    </row>
    <row r="46" spans="1:15" ht="14.25" customHeight="1">
      <c r="A46" s="3688" t="s">
        <v>1330</v>
      </c>
      <c r="B46" s="3689"/>
      <c r="C46" s="3689"/>
      <c r="D46" s="3689"/>
      <c r="E46" s="3689"/>
      <c r="F46" s="3689"/>
      <c r="G46" s="3690"/>
      <c r="H46" s="1803"/>
      <c r="I46" s="159"/>
      <c r="J46" s="2514">
        <v>1</v>
      </c>
      <c r="K46" s="3612" t="s">
        <v>1331</v>
      </c>
      <c r="L46" s="3612"/>
      <c r="M46" s="3613"/>
      <c r="N46" s="3613"/>
      <c r="O46" s="3613"/>
    </row>
    <row r="47" spans="1:15" ht="12" customHeight="1">
      <c r="A47" s="160" t="s">
        <v>1332</v>
      </c>
      <c r="B47" s="161"/>
      <c r="C47" s="162"/>
      <c r="D47" s="1087" t="s">
        <v>1333</v>
      </c>
      <c r="E47" s="302" t="s">
        <v>1334</v>
      </c>
      <c r="F47" s="163" t="s">
        <v>1335</v>
      </c>
      <c r="G47" s="2537" t="s">
        <v>1336</v>
      </c>
      <c r="H47" s="2538"/>
      <c r="I47" s="159"/>
      <c r="J47" s="2514">
        <v>2</v>
      </c>
      <c r="K47" s="3612" t="s">
        <v>1337</v>
      </c>
      <c r="L47" s="3612"/>
      <c r="M47" s="3614">
        <f>'数据-取费表'!B2</f>
        <v>45124</v>
      </c>
      <c r="N47" s="3614"/>
      <c r="O47" s="3614"/>
    </row>
    <row r="48" spans="1:15" ht="25.5">
      <c r="A48" s="3674" t="s">
        <v>1338</v>
      </c>
      <c r="B48" s="3675"/>
      <c r="C48" s="3675"/>
      <c r="D48" s="2317">
        <f ca="1">IF(H48="情况1",0,IF(H48="情况2",D52,IF(H48="情况3",D53,IF(H48="情况4",D54))))</f>
        <v>5538</v>
      </c>
      <c r="E48" s="2327" t="str">
        <f>IF(H48="情况4","(销售额-原购置价)×税（费）率","销售额×税（费）率")</f>
        <v>销售额×税（费）率</v>
      </c>
      <c r="F48" s="2539">
        <f>IF(H48="情况1","免征",'数据-取费表'!B41)</f>
        <v>5.5000000000000007E-2</v>
      </c>
      <c r="G48" s="2540" t="s">
        <v>1339</v>
      </c>
      <c r="H48" s="2541" t="s">
        <v>3471</v>
      </c>
      <c r="I48" s="1803"/>
      <c r="J48" s="2514">
        <v>3</v>
      </c>
      <c r="K48" s="3612" t="s">
        <v>1340</v>
      </c>
      <c r="L48" s="3612"/>
      <c r="M48" s="3615">
        <f ca="1">H101</f>
        <v>188794</v>
      </c>
      <c r="N48" s="3615"/>
      <c r="O48" s="3615"/>
    </row>
    <row r="49" spans="1:35" ht="25.5" customHeight="1">
      <c r="A49" s="2326" t="s">
        <v>1341</v>
      </c>
      <c r="B49" s="3660" t="s">
        <v>1342</v>
      </c>
      <c r="C49" s="3660"/>
      <c r="D49" s="1587">
        <v>0</v>
      </c>
      <c r="E49" s="324" t="s">
        <v>1343</v>
      </c>
      <c r="F49" s="2417" t="s">
        <v>28</v>
      </c>
      <c r="G49" s="3643"/>
      <c r="H49" s="2303" t="s">
        <v>2130</v>
      </c>
      <c r="I49" s="2304"/>
      <c r="J49" s="2514">
        <v>4</v>
      </c>
      <c r="K49" s="3612" t="str">
        <f>IF(项目基本情况!E8="房地产抵押价值","房地产抵押价值","抵押担保权已注销时的房地产抵押价值")</f>
        <v>房地产抵押价值</v>
      </c>
      <c r="L49" s="3612"/>
      <c r="M49" s="3615">
        <f ca="1">IF(项目基本情况!E8="房地产抵押价值",H107,H109)</f>
        <v>188794</v>
      </c>
      <c r="N49" s="3615"/>
      <c r="O49" s="3615"/>
    </row>
    <row r="50" spans="1:35" ht="25.5" customHeight="1">
      <c r="A50" s="2542"/>
      <c r="B50" s="3660" t="s">
        <v>1344</v>
      </c>
      <c r="C50" s="3660"/>
      <c r="D50" s="2543"/>
      <c r="E50" s="332"/>
      <c r="F50" s="2417"/>
      <c r="G50" s="3644"/>
      <c r="H50" s="2305" t="s">
        <v>2131</v>
      </c>
      <c r="I50" s="2304"/>
      <c r="J50" s="3611" t="s">
        <v>1345</v>
      </c>
      <c r="K50" s="3611"/>
      <c r="L50" s="3611"/>
      <c r="M50" s="3611"/>
      <c r="N50" s="3611"/>
      <c r="O50" s="3611"/>
    </row>
    <row r="51" spans="1:35" ht="20.45" customHeight="1">
      <c r="A51" s="2544"/>
      <c r="B51" s="3660" t="s">
        <v>1346</v>
      </c>
      <c r="C51" s="3660"/>
      <c r="D51" s="1087"/>
      <c r="E51" s="327"/>
      <c r="F51" s="2417"/>
      <c r="G51" s="3645"/>
      <c r="H51" s="2305" t="s">
        <v>2132</v>
      </c>
      <c r="I51" s="2304"/>
      <c r="J51" s="2515" t="s">
        <v>1347</v>
      </c>
      <c r="K51" s="3612" t="s">
        <v>1348</v>
      </c>
      <c r="L51" s="3612"/>
      <c r="M51" s="2515" t="s">
        <v>1349</v>
      </c>
      <c r="N51" s="2515" t="s">
        <v>1350</v>
      </c>
      <c r="O51" s="2515" t="s">
        <v>1351</v>
      </c>
    </row>
    <row r="52" spans="1:35" ht="24" customHeight="1">
      <c r="A52" s="2328" t="s">
        <v>1352</v>
      </c>
      <c r="B52" s="3660" t="s">
        <v>1353</v>
      </c>
      <c r="C52" s="3660"/>
      <c r="D52" s="1087">
        <f ca="1">ROUND(D45*'数据-取费表'!B41/(1+'数据-取费表'!C42),0)</f>
        <v>5538</v>
      </c>
      <c r="E52" s="2327" t="s">
        <v>1354</v>
      </c>
      <c r="F52" s="2545">
        <f>'数据-取费表'!B41</f>
        <v>5.5000000000000007E-2</v>
      </c>
      <c r="G52" s="2546"/>
      <c r="H52" s="2535"/>
      <c r="I52" s="1804"/>
      <c r="J52" s="2514">
        <v>1</v>
      </c>
      <c r="K52" s="3637" t="s">
        <v>1355</v>
      </c>
      <c r="L52" s="3637"/>
      <c r="M52" s="2516">
        <f ca="1">D48</f>
        <v>5538</v>
      </c>
      <c r="N52" s="2514" t="str">
        <f>E48</f>
        <v>销售额×税（费）率</v>
      </c>
      <c r="O52" s="2517">
        <f>F48</f>
        <v>5.5000000000000007E-2</v>
      </c>
    </row>
    <row r="53" spans="1:35" ht="12" customHeight="1">
      <c r="A53" s="2328" t="s">
        <v>1356</v>
      </c>
      <c r="B53" s="3661" t="s">
        <v>2283</v>
      </c>
      <c r="C53" s="3662"/>
      <c r="D53" s="1087">
        <f ca="1">ROUND(D45*'数据-取费表'!B41/(1+'数据-取费表'!C42),0)</f>
        <v>5538</v>
      </c>
      <c r="E53" s="2327" t="s">
        <v>1354</v>
      </c>
      <c r="F53" s="2545">
        <f>'数据-取费表'!B41</f>
        <v>5.5000000000000007E-2</v>
      </c>
      <c r="G53" s="2546"/>
      <c r="H53" s="2535"/>
      <c r="I53" s="1804"/>
      <c r="J53" s="2514">
        <v>2</v>
      </c>
      <c r="K53" s="3637" t="s">
        <v>1357</v>
      </c>
      <c r="L53" s="3637"/>
      <c r="M53" s="2516">
        <f t="shared" ref="M53:O54" ca="1" si="0">D55</f>
        <v>53</v>
      </c>
      <c r="N53" s="2514" t="str">
        <f t="shared" si="0"/>
        <v>销售额×税（费）率</v>
      </c>
      <c r="O53" s="2517">
        <f t="shared" si="0"/>
        <v>5.0000000000000001E-4</v>
      </c>
    </row>
    <row r="54" spans="1:35" ht="12" customHeight="1">
      <c r="A54" s="2328" t="s">
        <v>1358</v>
      </c>
      <c r="B54" s="3661" t="s">
        <v>2284</v>
      </c>
      <c r="C54" s="3662"/>
      <c r="D54" s="1087">
        <f ca="1">C68</f>
        <v>5538</v>
      </c>
      <c r="E54" s="327" t="s">
        <v>1359</v>
      </c>
      <c r="F54" s="2545">
        <f>'数据-取费表'!B41</f>
        <v>5.5000000000000007E-2</v>
      </c>
      <c r="G54" s="2546"/>
      <c r="H54" s="2547"/>
      <c r="I54" s="1804"/>
      <c r="J54" s="2514">
        <v>3</v>
      </c>
      <c r="K54" s="3637" t="s">
        <v>1360</v>
      </c>
      <c r="L54" s="3637"/>
      <c r="M54" s="2516">
        <f t="shared" ca="1" si="0"/>
        <v>28485</v>
      </c>
      <c r="N54" s="2514" t="str">
        <f t="shared" si="0"/>
        <v>增值额×税（费）率</v>
      </c>
      <c r="O54" s="2518" t="str">
        <f t="shared" si="0"/>
        <v>——</v>
      </c>
    </row>
    <row r="55" spans="1:35" ht="24" customHeight="1">
      <c r="A55" s="3697" t="s">
        <v>1361</v>
      </c>
      <c r="B55" s="3675"/>
      <c r="C55" s="3675"/>
      <c r="D55" s="2317">
        <f ca="1">IF(H55="个人住宅",0,ROUND(D45*I55,0))</f>
        <v>53</v>
      </c>
      <c r="E55" s="2327" t="s">
        <v>1362</v>
      </c>
      <c r="F55" s="2545">
        <f>IF(H55="正常",I55,"免征")</f>
        <v>5.0000000000000001E-4</v>
      </c>
      <c r="G55" s="2546"/>
      <c r="H55" s="2541" t="s">
        <v>3472</v>
      </c>
      <c r="I55" s="165">
        <f>'数据-取费表'!B49</f>
        <v>5.0000000000000001E-4</v>
      </c>
      <c r="J55" s="2514" t="str">
        <f>IF(H59="非个人房产","",4)</f>
        <v/>
      </c>
      <c r="K55" s="3637" t="str">
        <f>IF(H59="非个人房产","——","个人所得税")</f>
        <v>——</v>
      </c>
      <c r="L55" s="3637"/>
      <c r="M55" s="2519" t="str">
        <f>D59</f>
        <v>——</v>
      </c>
      <c r="N55" s="2033" t="str">
        <f>E59</f>
        <v>——</v>
      </c>
      <c r="O55" s="2520" t="str">
        <f>F59</f>
        <v>——</v>
      </c>
    </row>
    <row r="56" spans="1:35" ht="24.75">
      <c r="A56" s="3697" t="s">
        <v>1363</v>
      </c>
      <c r="B56" s="3675"/>
      <c r="C56" s="3675"/>
      <c r="D56" s="2317">
        <f ca="1">IF(H56="个人住宅",D57,D58)</f>
        <v>28485</v>
      </c>
      <c r="E56" s="2327" t="s">
        <v>1364</v>
      </c>
      <c r="F56" s="2545" t="str">
        <f>IF(H56="正常",F58,"免征")</f>
        <v>——</v>
      </c>
      <c r="G56" s="2548" t="s">
        <v>1365</v>
      </c>
      <c r="H56" s="2549" t="s">
        <v>3472</v>
      </c>
      <c r="I56" s="1805"/>
      <c r="J56" s="2514" t="str">
        <f>IF(项目基本情况!K6="上海银行",IF(J55="",4,J55+1),"")</f>
        <v/>
      </c>
      <c r="K56" s="3618" t="str">
        <f>IF(项目基本情况!K6="上海银行","其他处置费用","")</f>
        <v/>
      </c>
      <c r="L56" s="3619"/>
      <c r="M56" s="2516" t="str">
        <f>IF(项目基本情况!K6="上海银行",M69,"")</f>
        <v/>
      </c>
      <c r="N56" s="3618" t="str">
        <f>IF(项目基本情况!K6="上海银行","包含处置中涉及的律师、诉讼、拍卖、评估等费用","")</f>
        <v/>
      </c>
      <c r="O56" s="3621"/>
    </row>
    <row r="57" spans="1:35" ht="12.75">
      <c r="A57" s="2328" t="s">
        <v>1341</v>
      </c>
      <c r="B57" s="3661" t="s">
        <v>1366</v>
      </c>
      <c r="C57" s="3662"/>
      <c r="D57" s="1587">
        <v>0</v>
      </c>
      <c r="E57" s="324" t="s">
        <v>1343</v>
      </c>
      <c r="F57" s="302"/>
      <c r="G57" s="2546"/>
      <c r="H57" s="2550"/>
      <c r="I57" s="1805"/>
      <c r="J57" s="3637">
        <f>IF(AND(J55="",J56=""),4,IF(项目基本情况!K6="上海银行",结果表!J56+1,结果表!J55+1))</f>
        <v>4</v>
      </c>
      <c r="K57" s="3637" t="s">
        <v>1367</v>
      </c>
      <c r="L57" s="2521" t="s">
        <v>1368</v>
      </c>
      <c r="M57" s="2522"/>
      <c r="N57" s="2523">
        <f ca="1">SUMIF(M52:M56,"&lt;9e307")</f>
        <v>34076</v>
      </c>
      <c r="O57" s="2524"/>
      <c r="P57" s="2681">
        <f ca="1">N57/M49</f>
        <v>0.1804930241427164</v>
      </c>
    </row>
    <row r="58" spans="1:35" ht="24.75">
      <c r="A58" s="2328" t="s">
        <v>1352</v>
      </c>
      <c r="B58" s="3661" t="s">
        <v>1369</v>
      </c>
      <c r="C58" s="3660"/>
      <c r="D58" s="2317">
        <f ca="1">IF(H58="转让取得",C81,C97)</f>
        <v>28485</v>
      </c>
      <c r="E58" s="2327" t="s">
        <v>1364</v>
      </c>
      <c r="F58" s="302" t="s">
        <v>28</v>
      </c>
      <c r="G58" s="2546"/>
      <c r="H58" s="2549" t="s">
        <v>3473</v>
      </c>
      <c r="I58" s="1805"/>
      <c r="J58" s="3637"/>
      <c r="K58" s="3637"/>
      <c r="L58" s="2521" t="s">
        <v>1370</v>
      </c>
      <c r="M58" s="2525"/>
      <c r="N58" s="2526" t="str">
        <f ca="1">NUMBERSTRING(INT(N57*10000),2)&amp;"元整"</f>
        <v>叁亿肆仟零柒拾陆万元整</v>
      </c>
      <c r="O58" s="2527"/>
    </row>
    <row r="59" spans="1:35" ht="24.75" thickBot="1">
      <c r="A59" s="3641" t="s">
        <v>1371</v>
      </c>
      <c r="B59" s="3642"/>
      <c r="C59" s="3642"/>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7" t="s">
        <v>3474</v>
      </c>
      <c r="I59" s="2306" t="s">
        <v>2133</v>
      </c>
      <c r="J59" s="3639">
        <f>J57+1</f>
        <v>5</v>
      </c>
      <c r="K59" s="3637" t="s">
        <v>1372</v>
      </c>
      <c r="L59" s="2514" t="s">
        <v>1368</v>
      </c>
      <c r="M59" s="2528"/>
      <c r="N59" s="2529">
        <f ca="1">M49-N57</f>
        <v>154718</v>
      </c>
      <c r="O59" s="2530"/>
    </row>
    <row r="60" spans="1:35" ht="12" customHeight="1">
      <c r="A60" s="1806"/>
      <c r="B60" s="1744"/>
      <c r="C60" s="1744"/>
      <c r="D60" s="1744"/>
      <c r="E60" s="1575"/>
      <c r="F60" s="1805"/>
      <c r="G60" s="1805"/>
      <c r="H60" s="1807"/>
      <c r="I60" s="129"/>
      <c r="J60" s="3640"/>
      <c r="K60" s="3637"/>
      <c r="L60" s="2521" t="s">
        <v>1370</v>
      </c>
      <c r="M60" s="2525"/>
      <c r="N60" s="2526" t="str">
        <f ca="1">NUMBERSTRING(INT(N59*10000),2)&amp;"元整"</f>
        <v>壹拾伍亿肆仟柒佰壹拾捌万元整</v>
      </c>
      <c r="O60" s="2527"/>
    </row>
    <row r="61" spans="1:35" ht="13.5" thickBot="1">
      <c r="A61" s="3696" t="s">
        <v>1373</v>
      </c>
      <c r="B61" s="3696"/>
      <c r="C61" s="3696"/>
      <c r="D61" s="3696"/>
      <c r="E61" s="3696"/>
      <c r="F61" s="1805"/>
      <c r="G61" s="1805"/>
      <c r="H61" s="1807"/>
      <c r="I61" s="129"/>
      <c r="J61" s="2514">
        <f>J59+1</f>
        <v>6</v>
      </c>
      <c r="K61" s="3637" t="s">
        <v>1374</v>
      </c>
      <c r="L61" s="3637"/>
      <c r="M61" s="2531"/>
      <c r="N61" s="2532">
        <f ca="1">ROUND(N59*10000/'数据-汇总表'!E3,0)</f>
        <v>9965</v>
      </c>
      <c r="O61" s="2533"/>
    </row>
    <row r="62" spans="1:35" ht="12.75">
      <c r="A62" s="3656" t="s">
        <v>1375</v>
      </c>
      <c r="B62" s="3657"/>
      <c r="C62" s="2014"/>
      <c r="D62" s="2014" t="s">
        <v>1376</v>
      </c>
      <c r="E62" s="166" t="s">
        <v>1377</v>
      </c>
      <c r="F62" s="1805"/>
      <c r="G62" s="1805"/>
      <c r="H62" s="1807"/>
      <c r="I62" s="129"/>
    </row>
    <row r="63" spans="1:35" ht="12.75">
      <c r="A63" s="173" t="s">
        <v>330</v>
      </c>
      <c r="B63" s="167" t="s">
        <v>1378</v>
      </c>
      <c r="C63" s="2555">
        <f ca="1">ROUND((C64+C65)/(1+'数据-取费表'!C42),0)</f>
        <v>100690</v>
      </c>
      <c r="D63" s="167"/>
      <c r="E63" s="168"/>
      <c r="F63" s="1805"/>
      <c r="G63" s="1805"/>
      <c r="H63" s="1807"/>
      <c r="I63" s="129"/>
      <c r="J63" s="3620" t="s">
        <v>1379</v>
      </c>
      <c r="K63" s="1329" t="s">
        <v>1380</v>
      </c>
      <c r="L63" s="1329">
        <f ca="1">IF(M49&gt;10000,M49*0.5%,IF(AND(M49&gt;1000,M49&lt;=10000),M49*1%,IF(AND(M49&gt;100,M49&lt;=1000),M49*3%,IF(AND(M49&gt;10,M49&lt;=100),M49*5%,M49*8%))))</f>
        <v>943.97</v>
      </c>
      <c r="M63" s="302">
        <f ca="1">ROUND(L63,1)</f>
        <v>944</v>
      </c>
      <c r="N63" s="2534"/>
      <c r="Z63" s="1749"/>
      <c r="AI63" s="1750"/>
    </row>
    <row r="64" spans="1:35" ht="14.25" customHeight="1">
      <c r="A64" s="169" t="s">
        <v>325</v>
      </c>
      <c r="B64" s="170" t="s">
        <v>1381</v>
      </c>
      <c r="C64" s="2556">
        <f ca="1">D45</f>
        <v>105725</v>
      </c>
      <c r="D64" s="170" t="s">
        <v>26</v>
      </c>
      <c r="E64" s="172"/>
      <c r="F64" s="1805"/>
      <c r="G64" s="1805"/>
      <c r="H64" s="1807"/>
      <c r="I64" s="129"/>
      <c r="J64" s="3620"/>
      <c r="K64" s="1329" t="s">
        <v>1382</v>
      </c>
      <c r="L64" s="1329">
        <f ca="1">IF(M49&gt;2000,M49*0.5%,IF(AND(M49&gt;1000,M49&lt;=2000),M49*0.6%,IF(AND(M49&gt;500,M49&lt;=1000),M49*0.7%,IF(AND(M49&gt;200,M49&lt;=500),M49*0.8%,IF(AND(M49&gt;100,M49&lt;=200),M49*0.9%,IF(AND(M49&gt;50,M49&lt;=100),M49*1%,IF(AND(M49&gt;20,M49&lt;=50),M49*1.5%,IF(AND(M49&gt;10,M49&lt;=20),M49*2%,IF(AND(M49&gt;1,M49&lt;=10),M49*2.5%)))))))))</f>
        <v>943.97</v>
      </c>
      <c r="M64" s="302">
        <f t="shared" ref="M64:M65" ca="1" si="1">ROUND(L64,1)</f>
        <v>944</v>
      </c>
      <c r="N64" s="2535" t="s">
        <v>1383</v>
      </c>
      <c r="Z64" s="1749"/>
      <c r="AI64" s="1750"/>
    </row>
    <row r="65" spans="1:35" ht="14.25" customHeight="1">
      <c r="A65" s="169" t="s">
        <v>326</v>
      </c>
      <c r="B65" s="170" t="s">
        <v>1384</v>
      </c>
      <c r="C65" s="2557"/>
      <c r="D65" s="170"/>
      <c r="E65" s="172"/>
      <c r="F65" s="1805"/>
      <c r="G65" s="1805"/>
      <c r="H65" s="1807"/>
      <c r="I65" s="129"/>
      <c r="J65" s="3620"/>
      <c r="K65" s="1329" t="s">
        <v>1385</v>
      </c>
      <c r="L65" s="1329">
        <f ca="1">IF(M49&gt;1000,M49*0.1%,IF(AND(M49&gt;500,M49&lt;=1000),M49*0.5%,IF(AND(M49&gt;50,M49&lt;=500),M49*1%,IF(AND(M49&gt;1,M49&lt;=50),M49*1.5%))))</f>
        <v>188.79400000000001</v>
      </c>
      <c r="M65" s="302">
        <f t="shared" ca="1" si="1"/>
        <v>188.8</v>
      </c>
      <c r="N65" s="2535" t="s">
        <v>1383</v>
      </c>
      <c r="Z65" s="1749"/>
      <c r="AI65" s="1750"/>
    </row>
    <row r="66" spans="1:35" ht="14.25" customHeight="1">
      <c r="A66" s="173" t="s">
        <v>327</v>
      </c>
      <c r="B66" s="174" t="s">
        <v>1386</v>
      </c>
      <c r="C66" s="2558"/>
      <c r="D66" s="174" t="s">
        <v>26</v>
      </c>
      <c r="E66" s="1335" t="s">
        <v>671</v>
      </c>
      <c r="F66" s="1805"/>
      <c r="G66" s="1805"/>
      <c r="H66" s="1807"/>
      <c r="I66" s="129"/>
      <c r="J66" s="3620"/>
      <c r="K66" s="1329" t="s">
        <v>1387</v>
      </c>
      <c r="L66" s="1329">
        <f ca="1">M49*0.5%</f>
        <v>943.97</v>
      </c>
      <c r="M66" s="302">
        <f ca="1">IF(L66&gt;0.5,0.5,ROUND(L66,0))</f>
        <v>0.5</v>
      </c>
      <c r="N66" s="2535" t="s">
        <v>1388</v>
      </c>
      <c r="Z66" s="1749"/>
      <c r="AI66" s="1750"/>
    </row>
    <row r="67" spans="1:35" ht="14.25" customHeight="1">
      <c r="A67" s="173" t="s">
        <v>328</v>
      </c>
      <c r="B67" s="174" t="s">
        <v>1389</v>
      </c>
      <c r="C67" s="2559">
        <f ca="1">C63-C66</f>
        <v>100690</v>
      </c>
      <c r="D67" s="170" t="s">
        <v>26</v>
      </c>
      <c r="E67" s="172"/>
      <c r="F67" s="1805"/>
      <c r="G67" s="1805"/>
      <c r="H67" s="1807"/>
      <c r="I67" s="129"/>
      <c r="J67" s="3620"/>
      <c r="K67" s="1329" t="s">
        <v>1390</v>
      </c>
      <c r="L67" s="1329">
        <f ca="1">IF(M49&gt;=10000,(8.25+(M49-10000)*0.01%),IF(AND(M49&gt;=8000,M49&lt;10000),(7.85+(M49-8000)*0.02%),IF(AND(M49&gt;=5000,M49&lt;8000),(6.65+(M49-5000)*0.04%),IF(AND(M49&gt;=2000,M49&lt;5000),(4.25+(PM49-2000)*0.08%),IF(AND(M49&gt;=1000,M49&lt;2000),(2.75+(M49-1000)*0.15%),IF(AND(M49&gt;=100,M49&lt;1000),(0.5+(M49-100)*0.25%),IF(AND(M49&gt;0,M49&lt;100),M49*0.5%)))))))</f>
        <v>26.1294</v>
      </c>
      <c r="M67" s="302">
        <f ca="1">ROUND(L67*0.9,1)</f>
        <v>23.5</v>
      </c>
      <c r="N67" s="2534"/>
      <c r="Z67" s="1749"/>
      <c r="AI67" s="1750"/>
    </row>
    <row r="68" spans="1:35" ht="14.25" customHeight="1" thickBot="1">
      <c r="A68" s="176" t="s">
        <v>329</v>
      </c>
      <c r="B68" s="177" t="s">
        <v>1391</v>
      </c>
      <c r="C68" s="2560">
        <f ca="1">IF(C67&lt;=0,0,ROUND(C67*D68,0))</f>
        <v>5538</v>
      </c>
      <c r="D68" s="2561">
        <f>'数据-取费表'!B41</f>
        <v>5.5000000000000007E-2</v>
      </c>
      <c r="E68" s="178"/>
      <c r="F68" s="1805"/>
      <c r="G68" s="1805"/>
      <c r="H68" s="1807"/>
      <c r="I68" s="129"/>
      <c r="J68" s="3620"/>
      <c r="K68" s="1329" t="s">
        <v>1392</v>
      </c>
      <c r="L68" s="1329">
        <f ca="1">IF(M49&gt;10000,M49*0.5%,IF(AND(M49&gt;5000,M49&lt;=10000),M49*1%,IF(AND(M49&gt;1000,M49&lt;=5000),M49*2%,IF(AND(M49&gt;200,M49&lt;=1000),M49*3%,M49*5%))))</f>
        <v>943.97</v>
      </c>
      <c r="M68" s="302">
        <f ca="1">ROUND(L68,1)</f>
        <v>944</v>
      </c>
      <c r="N68" s="2534"/>
      <c r="Z68" s="1749"/>
      <c r="AI68" s="1750"/>
    </row>
    <row r="69" spans="1:35" s="1769" customFormat="1" ht="16.5" customHeight="1">
      <c r="A69" s="1808"/>
      <c r="B69" s="1809"/>
      <c r="C69" s="1810"/>
      <c r="D69" s="1811"/>
      <c r="E69" s="1812"/>
      <c r="F69" s="1575"/>
      <c r="G69" s="1575"/>
      <c r="H69" s="1574"/>
      <c r="I69" s="1744"/>
      <c r="J69" s="3620"/>
      <c r="K69" s="1329" t="s">
        <v>1393</v>
      </c>
      <c r="L69" s="1329"/>
      <c r="M69" s="302">
        <f ca="1">ROUND(SUM(M63:M68),0)</f>
        <v>3045</v>
      </c>
      <c r="N69" s="2536">
        <f ca="1">M69/M49</f>
        <v>1.61286905304194E-2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64" t="s">
        <v>1394</v>
      </c>
      <c r="B70" s="3665"/>
      <c r="C70" s="3665"/>
      <c r="D70" s="3665"/>
      <c r="E70" s="3665"/>
      <c r="F70" s="3665"/>
      <c r="G70" s="3665"/>
      <c r="H70" s="3665"/>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6" t="s">
        <v>1375</v>
      </c>
      <c r="B71" s="3657"/>
      <c r="C71" s="2014"/>
      <c r="D71" s="2014" t="s">
        <v>1376</v>
      </c>
      <c r="E71" s="179" t="s">
        <v>1377</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59">
        <f ca="1">ROUND(D45/(1+'数据-取费表'!C42),0)</f>
        <v>100690</v>
      </c>
      <c r="D72" s="170" t="s">
        <v>26</v>
      </c>
      <c r="E72" s="2324"/>
      <c r="F72" s="2323"/>
      <c r="G72" s="2323"/>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59">
        <f ca="1">C74+C78</f>
        <v>503</v>
      </c>
      <c r="D73" s="170" t="s">
        <v>26</v>
      </c>
      <c r="E73" s="2324"/>
      <c r="F73" s="2323"/>
      <c r="G73" s="2323"/>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4"/>
      <c r="F74" s="2323"/>
      <c r="G74" s="2323"/>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2"/>
      <c r="D75" s="170" t="s">
        <v>26</v>
      </c>
      <c r="E75" s="184" t="s">
        <v>1399</v>
      </c>
      <c r="F75" s="2563"/>
      <c r="G75" s="184" t="s">
        <v>1400</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5">
        <v>0.05</v>
      </c>
      <c r="E76" s="3661" t="s">
        <v>1402</v>
      </c>
      <c r="F76" s="3660"/>
      <c r="G76" s="3660"/>
      <c r="H76" s="366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66">
        <f>'数据-取费表'!B48+'数据-取费表'!B49</f>
        <v>3.0499999999999999E-2</v>
      </c>
      <c r="E77" s="2317" t="s">
        <v>1404</v>
      </c>
      <c r="F77" s="186"/>
      <c r="G77" s="1819"/>
      <c r="H77" s="2325"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67">
        <f ca="1">ROUND(D45*D78/(1+'数据-取费表'!C42),0)</f>
        <v>503</v>
      </c>
      <c r="D78" s="2568">
        <f>'数据-取费表'!B43</f>
        <v>5.000000000000001E-3</v>
      </c>
      <c r="E78" s="3653" t="s">
        <v>1406</v>
      </c>
      <c r="F78" s="3654"/>
      <c r="G78" s="3654"/>
      <c r="H78" s="365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59">
        <f ca="1">C72-C73</f>
        <v>100187</v>
      </c>
      <c r="D79" s="170" t="s">
        <v>26</v>
      </c>
      <c r="E79" s="2324"/>
      <c r="F79" s="2323"/>
      <c r="G79" s="2323"/>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69">
        <f ca="1">IF(C79&lt;=0,0,C79/C73)</f>
        <v>199.17892644135188</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0">
        <f ca="1">ROUND(IF(C79&lt;=0,0,IF(C80&gt;=200%,C79*60%-C73*35%,IF(C80&gt;=100%,C79*50%-C73*15%,IF(C80&gt;=50%,C79*40%-C73*5%,IF(C80&lt;50%,C79*30%,0))))),0)</f>
        <v>59936</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4" t="s">
        <v>1410</v>
      </c>
      <c r="B83" s="3665"/>
      <c r="C83" s="3665"/>
      <c r="D83" s="3665"/>
      <c r="E83" s="3665"/>
      <c r="F83" s="3665"/>
      <c r="G83" s="3665"/>
      <c r="H83" s="3665"/>
      <c r="I83" s="1818"/>
      <c r="J83" s="1815"/>
      <c r="K83" s="3452" t="s">
        <v>3468</v>
      </c>
      <c r="L83" s="1815">
        <v>44560000</v>
      </c>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6" t="s">
        <v>1375</v>
      </c>
      <c r="B84" s="3657"/>
      <c r="C84" s="2014"/>
      <c r="D84" s="2014"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59">
        <f ca="1">ROUND(D45/(1+'数据-取费表'!C42),0)</f>
        <v>100690</v>
      </c>
      <c r="D85" s="170" t="s">
        <v>26</v>
      </c>
      <c r="E85" s="2324"/>
      <c r="F85" s="2323"/>
      <c r="G85" s="2323"/>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59">
        <f ca="1">IF(H88="仅含出让金",C87+C90+C91+C92+C93+C94,C87+C91+C92+C93+C94)</f>
        <v>33630.182700000005</v>
      </c>
      <c r="D86" s="2572"/>
      <c r="E86" s="2324"/>
      <c r="F86" s="2323"/>
      <c r="G86" s="2323"/>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67">
        <f>C88+C89</f>
        <v>4592</v>
      </c>
      <c r="D87" s="2568"/>
      <c r="E87" s="2319"/>
      <c r="F87" s="2320"/>
      <c r="G87" s="2320"/>
      <c r="H87" s="2321"/>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3">
        <f>L83/10000</f>
        <v>4456</v>
      </c>
      <c r="D88" s="2568"/>
      <c r="E88" s="193" t="s">
        <v>1413</v>
      </c>
      <c r="F88" s="2320"/>
      <c r="G88" s="194" t="s">
        <v>1414</v>
      </c>
      <c r="H88" s="1821" t="s">
        <v>3469</v>
      </c>
      <c r="I88" s="1818"/>
      <c r="J88" s="2512" t="s">
        <v>2280</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67">
        <f>ROUND(C88*D89,0)</f>
        <v>136</v>
      </c>
      <c r="D89" s="2568">
        <f>'数据-取费表'!B48+'数据-取费表'!B49</f>
        <v>3.0499999999999999E-2</v>
      </c>
      <c r="E89" s="193" t="s">
        <v>1415</v>
      </c>
      <c r="F89" s="2320"/>
      <c r="G89" s="2320"/>
      <c r="H89" s="2321"/>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3"/>
      <c r="D90" s="2568"/>
      <c r="E90" s="193" t="str">
        <f>IF(H88="-","土地取得成本中已包含该笔费用"," ")</f>
        <v xml:space="preserve"> </v>
      </c>
      <c r="F90" s="2320"/>
      <c r="G90" s="3622" t="s">
        <v>2125</v>
      </c>
      <c r="H90" s="3623"/>
      <c r="I90" s="1818"/>
      <c r="J90" s="2512" t="s">
        <v>2281</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67">
        <f>IF(H91="——",成本法!C33,I91)</f>
        <v>25523.182700000001</v>
      </c>
      <c r="D91" s="2568"/>
      <c r="E91" s="3653" t="s">
        <v>1419</v>
      </c>
      <c r="F91" s="3654"/>
      <c r="G91" s="3654"/>
      <c r="H91" s="1822" t="s">
        <v>3470</v>
      </c>
      <c r="I91" s="1823">
        <v>25523.182700000001</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67">
        <f>ROUND((C87+C90+C91)*D92,0)</f>
        <v>3012</v>
      </c>
      <c r="D92" s="2574">
        <v>0.1</v>
      </c>
      <c r="E92" s="3653" t="s">
        <v>1422</v>
      </c>
      <c r="F92" s="3654"/>
      <c r="G92" s="3654"/>
      <c r="H92" s="3655"/>
      <c r="I92" s="1818"/>
      <c r="J92" s="2513" t="s">
        <v>2282</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67">
        <f ca="1">ROUND(D45*D93/(1+'数据-取费表'!C42),0)</f>
        <v>503</v>
      </c>
      <c r="D93" s="2568">
        <f>'数据-取费表'!B43</f>
        <v>5.000000000000001E-3</v>
      </c>
      <c r="E93" s="3653" t="s">
        <v>1406</v>
      </c>
      <c r="F93" s="3654"/>
      <c r="G93" s="3654"/>
      <c r="H93" s="365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3453">
        <v>0</v>
      </c>
      <c r="D94" s="2568">
        <v>0.2</v>
      </c>
      <c r="E94" s="3698" t="s">
        <v>1426</v>
      </c>
      <c r="F94" s="3699"/>
      <c r="G94" s="3699"/>
      <c r="H94" s="370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59">
        <f ca="1">ROUND(C85-C86,0)</f>
        <v>67060</v>
      </c>
      <c r="D95" s="170" t="s">
        <v>26</v>
      </c>
      <c r="E95" s="2324"/>
      <c r="F95" s="2323"/>
      <c r="G95" s="2323"/>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69">
        <f ca="1">IF(C95&lt;=0,0,C95/C86)</f>
        <v>1.9940420960008638</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3"/>
      <c r="G96" s="2323"/>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0">
        <f ca="1">ROUND(IF(C95&lt;=0,0,IF(C96&gt;=200%,C95*60%-C86*35%,IF(C96&gt;=100%,C95*50%-C86*15%,IF(C96&gt;=50%,C95*40%-C86*5%,IF(C96&lt;50%,C95*30%,0))))),0)</f>
        <v>28485</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603" t="s">
        <v>1428</v>
      </c>
      <c r="B100" s="3604"/>
      <c r="C100" s="3604"/>
      <c r="D100" s="3638"/>
      <c r="E100" s="3604" t="s">
        <v>1429</v>
      </c>
      <c r="F100" s="3604"/>
      <c r="G100" s="3604"/>
      <c r="H100" s="3638"/>
      <c r="I100" s="129"/>
    </row>
    <row r="101" spans="1:35" ht="18.75" customHeight="1">
      <c r="A101" s="3646" t="s">
        <v>1430</v>
      </c>
      <c r="B101" s="3647"/>
      <c r="C101" s="2576" t="str">
        <f>C4</f>
        <v>成本法</v>
      </c>
      <c r="D101" s="2577" t="str">
        <f>D4</f>
        <v>假设开发法</v>
      </c>
      <c r="E101" s="3616" t="s">
        <v>1431</v>
      </c>
      <c r="F101" s="3617"/>
      <c r="G101" s="1824" t="s">
        <v>1432</v>
      </c>
      <c r="H101" s="2586">
        <f ca="1">H118</f>
        <v>188794</v>
      </c>
      <c r="I101" s="129"/>
    </row>
    <row r="102" spans="1:35" ht="18.75" customHeight="1">
      <c r="A102" s="3648" t="s">
        <v>1433</v>
      </c>
      <c r="B102" s="2575" t="s">
        <v>1432</v>
      </c>
      <c r="C102" s="2576">
        <f ca="1">IF(D32="楼面单价",ROUND(C19,0),C19)</f>
        <v>244338</v>
      </c>
      <c r="D102" s="2577">
        <f ca="1">IF(D32="楼面单价",ROUND(D19,0),D19)</f>
        <v>151764</v>
      </c>
      <c r="E102" s="3616"/>
      <c r="F102" s="3617"/>
      <c r="G102" s="1824" t="s">
        <v>1434</v>
      </c>
      <c r="H102" s="2546">
        <f ca="1">I118</f>
        <v>12159</v>
      </c>
      <c r="I102" s="129"/>
    </row>
    <row r="103" spans="1:35" ht="42.75" customHeight="1">
      <c r="A103" s="3648"/>
      <c r="B103" s="2575" t="s">
        <v>1434</v>
      </c>
      <c r="C103" s="2578">
        <f ca="1">C20</f>
        <v>15736</v>
      </c>
      <c r="D103" s="2579">
        <f ca="1">D20</f>
        <v>9774</v>
      </c>
      <c r="E103" s="3609" t="s">
        <v>1435</v>
      </c>
      <c r="F103" s="3610"/>
      <c r="G103" s="1825" t="s">
        <v>1436</v>
      </c>
      <c r="H103" s="2586">
        <f>IF(D36="正常操作",H104+H105+H106,H105+H106)</f>
        <v>0</v>
      </c>
      <c r="I103" s="129"/>
    </row>
    <row r="104" spans="1:35" ht="18.75" customHeight="1">
      <c r="A104" s="3648" t="s">
        <v>1437</v>
      </c>
      <c r="B104" s="2580" t="s">
        <v>1432</v>
      </c>
      <c r="C104" s="2581">
        <f ca="1">H118</f>
        <v>188794</v>
      </c>
      <c r="D104" s="2582"/>
      <c r="E104" s="1671" t="s">
        <v>1438</v>
      </c>
      <c r="F104" s="1663"/>
      <c r="G104" s="1825" t="s">
        <v>1436</v>
      </c>
      <c r="H104" s="2587">
        <f>IF(D36="同一抵押权人同一抵押物续贷",C36&amp;"（续贷，未扣减，详见特别提示）",C36)</f>
        <v>0</v>
      </c>
      <c r="I104" s="129"/>
    </row>
    <row r="105" spans="1:35" ht="18.75" customHeight="1" thickBot="1">
      <c r="A105" s="3658"/>
      <c r="B105" s="2583" t="s">
        <v>1434</v>
      </c>
      <c r="C105" s="2584">
        <f ca="1">I118</f>
        <v>12159</v>
      </c>
      <c r="D105" s="2585"/>
      <c r="E105" s="1671" t="s">
        <v>1439</v>
      </c>
      <c r="F105" s="1663"/>
      <c r="G105" s="1825" t="s">
        <v>1436</v>
      </c>
      <c r="H105" s="2588">
        <f>C37</f>
        <v>0</v>
      </c>
      <c r="I105" s="129"/>
    </row>
    <row r="106" spans="1:35" ht="18.75" customHeight="1">
      <c r="A106" s="1744" t="s">
        <v>1440</v>
      </c>
      <c r="B106" s="1744"/>
      <c r="C106" s="1744"/>
      <c r="D106" s="1744"/>
      <c r="E106" s="1826" t="s">
        <v>1441</v>
      </c>
      <c r="F106" s="1663"/>
      <c r="G106" s="1825" t="s">
        <v>1436</v>
      </c>
      <c r="H106" s="2588">
        <f>C38</f>
        <v>0</v>
      </c>
      <c r="I106" s="129"/>
    </row>
    <row r="107" spans="1:35" ht="18.75" customHeight="1">
      <c r="A107" s="129"/>
      <c r="B107" s="129"/>
      <c r="C107" s="129"/>
      <c r="D107" s="129"/>
      <c r="E107" s="3649" t="str">
        <f>IF(项目基本情况!E8="已注销","——","3.房地产抵押价值")</f>
        <v>3.房地产抵押价值</v>
      </c>
      <c r="F107" s="3617"/>
      <c r="G107" s="1824" t="s">
        <v>1432</v>
      </c>
      <c r="H107" s="2586">
        <f ca="1">IF(E107="——","——",H101-H103)</f>
        <v>188794</v>
      </c>
      <c r="I107" s="129"/>
    </row>
    <row r="108" spans="1:35" ht="18.75" customHeight="1">
      <c r="A108" s="129"/>
      <c r="B108" s="129"/>
      <c r="C108" s="129"/>
      <c r="D108" s="129"/>
      <c r="E108" s="3649"/>
      <c r="F108" s="3617"/>
      <c r="G108" s="1824" t="s">
        <v>1434</v>
      </c>
      <c r="H108" s="2546">
        <f ca="1">IF(H107=H101,H102,ROUND(H107*10000/'数据-汇总表'!E3,0))</f>
        <v>12159</v>
      </c>
      <c r="I108" s="129"/>
    </row>
    <row r="109" spans="1:35" ht="18.75" customHeight="1">
      <c r="A109" s="129"/>
      <c r="B109" s="129"/>
      <c r="C109" s="129"/>
      <c r="D109" s="129"/>
      <c r="E109" s="3649" t="str">
        <f>IF(项目基本情况!E8="已注销及未注销","4.抵押担保权已注销时的房地产抵押价值",IF(项目基本情况!E8="已注销","3.抵押担保权已注销时的房地产抵押价值","——"))</f>
        <v>——</v>
      </c>
      <c r="F109" s="3617"/>
      <c r="G109" s="1824" t="s">
        <v>1432</v>
      </c>
      <c r="H109" s="2589" t="str">
        <f>IF(E109="——","——",H101-H105-H106)</f>
        <v>——</v>
      </c>
      <c r="I109" s="129"/>
    </row>
    <row r="110" spans="1:35" ht="18.75" customHeight="1">
      <c r="A110" s="129"/>
      <c r="B110" s="129"/>
      <c r="C110" s="129"/>
      <c r="D110" s="129"/>
      <c r="E110" s="3649"/>
      <c r="F110" s="3617"/>
      <c r="G110" s="1824" t="s">
        <v>1434</v>
      </c>
      <c r="H110" s="2546"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v>
      </c>
      <c r="F111" s="3636"/>
      <c r="G111" s="1824" t="s">
        <v>1432</v>
      </c>
      <c r="H111" s="2586" t="str">
        <f>IF(E111="——","——",N59)</f>
        <v>——</v>
      </c>
      <c r="I111" s="129"/>
    </row>
    <row r="112" spans="1:35" ht="18.75" customHeight="1" thickBot="1">
      <c r="A112" s="129"/>
      <c r="B112" s="129"/>
      <c r="C112" s="129"/>
      <c r="D112" s="129"/>
      <c r="E112" s="3651"/>
      <c r="F112" s="3652"/>
      <c r="G112" s="1827" t="s">
        <v>1434</v>
      </c>
      <c r="H112" s="2590" t="str">
        <f>IF(E111="——","——",N61)</f>
        <v>——</v>
      </c>
      <c r="I112" s="129"/>
    </row>
    <row r="113" spans="1:27" ht="18.75" customHeight="1">
      <c r="A113" s="129"/>
      <c r="B113" s="129"/>
      <c r="C113" s="129"/>
      <c r="D113" s="129"/>
      <c r="E113" s="3659" t="s">
        <v>1440</v>
      </c>
      <c r="F113" s="3659"/>
      <c r="G113" s="3659"/>
      <c r="H113" s="3659"/>
      <c r="I113" s="129"/>
    </row>
    <row r="114" spans="1:27" ht="3.75" customHeight="1">
      <c r="A114" s="1744"/>
      <c r="B114" s="1744"/>
      <c r="C114" s="1744"/>
      <c r="D114" s="1744"/>
      <c r="E114" s="1806"/>
      <c r="F114" s="1806"/>
      <c r="G114" s="1806"/>
      <c r="H114" s="1806"/>
      <c r="I114" s="1744"/>
    </row>
    <row r="115" spans="1:27" ht="18.75" customHeight="1">
      <c r="A115" s="3667" t="s">
        <v>1442</v>
      </c>
      <c r="B115" s="3668"/>
      <c r="C115" s="3668"/>
      <c r="D115" s="3668"/>
      <c r="E115" s="3668"/>
      <c r="F115" s="3668"/>
      <c r="G115" s="3668"/>
      <c r="H115" s="3668"/>
      <c r="I115" s="3669"/>
    </row>
    <row r="116" spans="1:27" ht="27" customHeight="1">
      <c r="A116" s="3624" t="s">
        <v>1443</v>
      </c>
      <c r="B116" s="3628" t="s">
        <v>3710</v>
      </c>
      <c r="C116" s="3628" t="s">
        <v>3711</v>
      </c>
      <c r="D116" s="3634" t="s">
        <v>1444</v>
      </c>
      <c r="E116" s="3635"/>
      <c r="F116" s="3666" t="s">
        <v>3709</v>
      </c>
      <c r="G116" s="3666"/>
      <c r="H116" s="3624" t="s">
        <v>1445</v>
      </c>
      <c r="I116" s="3624"/>
    </row>
    <row r="117" spans="1:27" ht="18.75" customHeight="1">
      <c r="A117" s="3624"/>
      <c r="B117" s="3629"/>
      <c r="C117" s="3629"/>
      <c r="D117" s="2322" t="s">
        <v>1446</v>
      </c>
      <c r="E117" s="2322" t="s">
        <v>1447</v>
      </c>
      <c r="F117" s="2322" t="s">
        <v>1446</v>
      </c>
      <c r="G117" s="2322" t="s">
        <v>1448</v>
      </c>
      <c r="H117" s="2322" t="s">
        <v>1446</v>
      </c>
      <c r="I117" s="2322" t="s">
        <v>1448</v>
      </c>
    </row>
    <row r="118" spans="1:27" ht="24.75" customHeight="1">
      <c r="A118" s="2591" t="str">
        <f>项目基本情况!S2</f>
        <v>北京市房地产</v>
      </c>
      <c r="B118" s="2322">
        <f>M18</f>
        <v>155268.5</v>
      </c>
      <c r="C118" s="2322">
        <f>M19</f>
        <v>53629.25</v>
      </c>
      <c r="D118" s="2322">
        <f ca="1">ROUND(IF(D32="总价",C34,E118*B118/10000),0)</f>
        <v>155566</v>
      </c>
      <c r="E118" s="2322">
        <f ca="1">ROUND(IF(C33="自定义",IF(D32="楼面单价",C34,D118*10000/B118),I118-G118),0)</f>
        <v>10019</v>
      </c>
      <c r="F118" s="2322">
        <f ca="1">ROUND(IF(D32="总价",C35,G118*B118/10000),0)</f>
        <v>33228</v>
      </c>
      <c r="G118" s="2322">
        <f ca="1">ROUND(IF(D32="楼面单价",C35,F118*10000/B118),0)</f>
        <v>2140</v>
      </c>
      <c r="H118" s="2322">
        <f ca="1">ROUND(IF(D32="总价",C32,I118*B118/10000),0)</f>
        <v>188794</v>
      </c>
      <c r="I118" s="2322">
        <f ca="1">ROUND(IF(D32="楼面单价",C32,H118*10000/B118),0)</f>
        <v>12159</v>
      </c>
      <c r="K118" s="725">
        <f ca="1">D118/B118*666.67</f>
        <v>667.9473635669824</v>
      </c>
    </row>
    <row r="119" spans="1:27" ht="18.75" customHeight="1">
      <c r="A119" s="3624" t="s">
        <v>1449</v>
      </c>
      <c r="B119" s="3624"/>
      <c r="C119" s="3624"/>
      <c r="D119" s="3630" t="str">
        <f ca="1">NUMBERSTRING(INT(D118*10000),2)&amp;"元整"</f>
        <v>壹拾伍亿伍仟伍佰陆拾陆万元整</v>
      </c>
      <c r="E119" s="3631"/>
      <c r="F119" s="3630" t="str">
        <f ca="1">NUMBERSTRING(INT(F118*10000),2)&amp;"元整"</f>
        <v>叁亿叁仟贰佰贰拾捌万元整</v>
      </c>
      <c r="G119" s="3631"/>
      <c r="H119" s="3630" t="str">
        <f ca="1">NUMBERSTRING(INT(H118*10000),2)&amp;"元整"</f>
        <v>壹拾捌亿捌仟柒佰玖拾肆万元整</v>
      </c>
      <c r="I119" s="3631"/>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0" t="s">
        <v>1449</v>
      </c>
      <c r="B121" s="3632"/>
      <c r="C121" s="3631"/>
      <c r="D121" s="3630" t="str">
        <f>IF(D120=0,"零元整",NUMBERSTRING(INT(D120*10000),2)&amp;"元整")</f>
        <v>零元整</v>
      </c>
      <c r="E121" s="3632"/>
      <c r="F121" s="3632"/>
      <c r="G121" s="3632"/>
      <c r="H121" s="3632"/>
      <c r="I121" s="3631"/>
      <c r="AA121" s="725"/>
    </row>
    <row r="122" spans="1:27" ht="18.75" customHeight="1">
      <c r="A122" s="3636" t="str">
        <f>IF(项目基本情况!B9="房地产市场价值","",MID(E107,3,LEN(E107)-2))</f>
        <v>房地产抵押价值</v>
      </c>
      <c r="B122" s="3636"/>
      <c r="C122" s="3636"/>
      <c r="D122" s="3625">
        <f ca="1">H107</f>
        <v>188794</v>
      </c>
      <c r="E122" s="3626"/>
      <c r="F122" s="3626"/>
      <c r="G122" s="3626"/>
      <c r="H122" s="3626"/>
      <c r="I122" s="3627"/>
      <c r="AA122" s="725"/>
    </row>
    <row r="123" spans="1:27" ht="18.75" customHeight="1">
      <c r="A123" s="3624" t="s">
        <v>1449</v>
      </c>
      <c r="B123" s="3624"/>
      <c r="C123" s="3624"/>
      <c r="D123" s="3630" t="str">
        <f ca="1">NUMBERSTRING(INT(D122*10000),2)&amp;"元整"</f>
        <v>壹拾捌亿捌仟柒佰玖拾肆万元整</v>
      </c>
      <c r="E123" s="3632"/>
      <c r="F123" s="3632"/>
      <c r="G123" s="3632"/>
      <c r="H123" s="3632"/>
      <c r="I123" s="3631"/>
      <c r="AA123" s="725"/>
    </row>
    <row r="124" spans="1:27" ht="18.75" customHeight="1">
      <c r="A124" s="3636" t="str">
        <f>IF(项目基本情况!B9="房地产市场价值","",MID(E109,3,LEN(E109)-2))</f>
        <v/>
      </c>
      <c r="B124" s="3636"/>
      <c r="C124" s="3636"/>
      <c r="D124" s="3625" t="str">
        <f>H109</f>
        <v>——</v>
      </c>
      <c r="E124" s="3626"/>
      <c r="F124" s="3626"/>
      <c r="G124" s="3626"/>
      <c r="H124" s="3626"/>
      <c r="I124" s="3627"/>
      <c r="AA124" s="725"/>
    </row>
    <row r="125" spans="1:27" ht="18.75" customHeight="1">
      <c r="A125" s="3624" t="s">
        <v>1449</v>
      </c>
      <c r="B125" s="3624"/>
      <c r="C125" s="3624"/>
      <c r="D125" s="3630" t="e">
        <f>NUMBERSTRING(INT(D124*10000),2)&amp;"元整"</f>
        <v>#VALUE!</v>
      </c>
      <c r="E125" s="3632"/>
      <c r="F125" s="3632"/>
      <c r="G125" s="3632"/>
      <c r="H125" s="3632"/>
      <c r="I125" s="3631"/>
      <c r="AA125" s="725"/>
    </row>
    <row r="126" spans="1:27" ht="18.75" customHeight="1">
      <c r="A126" s="3636" t="str">
        <f>IF(项目基本情况!B9="房地产市场价值","",MID(E111,3,LEN(E111)-2))</f>
        <v/>
      </c>
      <c r="B126" s="3636"/>
      <c r="C126" s="3636"/>
      <c r="D126" s="3625" t="str">
        <f>H111</f>
        <v>——</v>
      </c>
      <c r="E126" s="3626"/>
      <c r="F126" s="3626"/>
      <c r="G126" s="3626"/>
      <c r="H126" s="3626"/>
      <c r="I126" s="3627"/>
      <c r="AA126" s="725"/>
    </row>
    <row r="127" spans="1:27" ht="18.75" customHeight="1">
      <c r="A127" s="3624" t="s">
        <v>1449</v>
      </c>
      <c r="B127" s="3624"/>
      <c r="C127" s="3624"/>
      <c r="D127" s="3630" t="e">
        <f>NUMBERSTRING(INT(D126*10000),2)&amp;"元整"</f>
        <v>#VALUE!</v>
      </c>
      <c r="E127" s="3632"/>
      <c r="F127" s="3632"/>
      <c r="G127" s="3632"/>
      <c r="H127" s="3632"/>
      <c r="I127" s="3631"/>
      <c r="AA127" s="725"/>
    </row>
    <row r="128" spans="1:27" ht="21.75" customHeight="1">
      <c r="A128" s="3633" t="s">
        <v>1450</v>
      </c>
      <c r="B128" s="3633"/>
      <c r="C128" s="3633"/>
      <c r="D128" s="3633"/>
      <c r="E128" s="3633"/>
      <c r="F128" s="3633"/>
      <c r="G128" s="3633"/>
      <c r="H128" s="3633"/>
      <c r="I128" s="3633"/>
      <c r="AA128" s="725"/>
    </row>
    <row r="129" spans="1:35" ht="21.75" customHeight="1">
      <c r="A129" s="1828" t="s">
        <v>1451</v>
      </c>
      <c r="B129" s="1829"/>
      <c r="C129" s="1830" t="s">
        <v>1452</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1453</v>
      </c>
      <c r="G135" s="1845"/>
      <c r="H135" s="1845"/>
      <c r="I135" s="1846" t="s">
        <v>1454</v>
      </c>
    </row>
    <row r="136" spans="1:35" ht="21.75" customHeight="1">
      <c r="A136" s="725"/>
      <c r="B136" s="1847"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1456</v>
      </c>
    </row>
    <row r="139" spans="1:35" ht="21.75" customHeight="1">
      <c r="A139" s="725"/>
      <c r="B139" s="1847" t="s">
        <v>1457</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1456</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4" t="str">
        <f>项目基本情况!B1</f>
        <v>北京市房地产抵押价值预评估</v>
      </c>
      <c r="C37" s="3514"/>
      <c r="D37" s="3514"/>
      <c r="E37" s="3514"/>
      <c r="F37" s="3514"/>
      <c r="G37" s="3514"/>
      <c r="H37" s="3514"/>
      <c r="I37" s="3514"/>
    </row>
    <row r="38" spans="1:9">
      <c r="A38" s="844"/>
      <c r="B38" s="844"/>
    </row>
    <row r="39" spans="1:9">
      <c r="A39" s="842" t="s">
        <v>371</v>
      </c>
      <c r="B39" s="842" t="s">
        <v>373</v>
      </c>
    </row>
    <row r="40" spans="1:9">
      <c r="A40" s="842"/>
      <c r="B40" s="1471">
        <f>项目基本情况!B5</f>
        <v>0</v>
      </c>
    </row>
    <row r="41" spans="1:9">
      <c r="A41" s="842"/>
      <c r="B41" s="842"/>
    </row>
    <row r="42" spans="1:9">
      <c r="A42" s="842" t="s">
        <v>371</v>
      </c>
      <c r="B42" s="842" t="s">
        <v>374</v>
      </c>
    </row>
    <row r="43" spans="1:9">
      <c r="A43" s="842"/>
      <c r="B43" s="1471" t="s">
        <v>375</v>
      </c>
    </row>
    <row r="44" spans="1:9">
      <c r="A44" s="842"/>
      <c r="B44" s="842"/>
    </row>
    <row r="45" spans="1:9">
      <c r="A45" s="842" t="s">
        <v>371</v>
      </c>
      <c r="B45" s="842" t="s">
        <v>376</v>
      </c>
    </row>
    <row r="46" spans="1:9" s="842" customFormat="1" ht="12.75">
      <c r="B46" s="1471"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zoomScaleSheetLayoutView="100" workbookViewId="0">
      <selection activeCell="C38" sqref="C3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156610</v>
      </c>
      <c r="C2" s="907"/>
      <c r="D2" s="907"/>
      <c r="E2" s="908"/>
      <c r="F2" s="909"/>
      <c r="G2" s="908"/>
      <c r="H2" s="908"/>
      <c r="I2" s="908"/>
      <c r="J2" s="908"/>
      <c r="K2" s="910"/>
      <c r="L2" s="2725"/>
      <c r="M2" s="2726"/>
      <c r="N2" s="2726"/>
      <c r="O2" s="2726"/>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10086</v>
      </c>
      <c r="C3" s="203" t="s">
        <v>1866</v>
      </c>
      <c r="D3" s="1190"/>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30"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30" ht="64.5" customHeight="1">
      <c r="A5" s="358"/>
      <c r="B5" s="359"/>
      <c r="C5" s="3714" t="s">
        <v>1670</v>
      </c>
      <c r="D5" s="3715"/>
      <c r="E5" s="3712" t="str">
        <f>案例!A3</f>
        <v>北京市门头沟区龙泉镇门头沟新城05街区MC00-0005-6002、6003、6010、6011、6007、6008、6012地块R2二类居住用地、S4社会停车场用地、A33基础教育用地</v>
      </c>
      <c r="F5" s="3713"/>
      <c r="G5" s="3718" t="str">
        <f>案例!A4</f>
        <v>北京市房山区拱辰街道办事处FS00-LX05-0046、0056地块R2二类居住用地</v>
      </c>
      <c r="H5" s="3719"/>
      <c r="I5" s="3718" t="str">
        <f>案例!A8</f>
        <v>北京市房山区拱辰街道FS00-LX09-6001地块R2二类居住用地、FS00-LX09-6003地块A33基础教育用地</v>
      </c>
      <c r="J5" s="3719"/>
      <c r="K5" s="559"/>
      <c r="L5" s="2706"/>
      <c r="M5" s="2707"/>
      <c r="N5" s="2707"/>
      <c r="O5" s="2707"/>
      <c r="P5" s="3729"/>
      <c r="Q5" s="3730"/>
      <c r="R5" s="3710"/>
      <c r="S5" s="3711"/>
      <c r="T5" s="3710"/>
      <c r="U5" s="3711"/>
      <c r="V5" s="3735"/>
      <c r="W5" s="3735"/>
      <c r="X5" s="1352"/>
      <c r="Y5" s="3710"/>
      <c r="Z5" s="3711"/>
      <c r="AA5" s="3704"/>
      <c r="AB5" s="3704"/>
      <c r="AC5" s="3704"/>
    </row>
    <row r="6" spans="1:30" ht="15.75" thickBot="1">
      <c r="A6" s="360"/>
      <c r="B6" s="361"/>
      <c r="C6" s="3716" t="s">
        <v>3673</v>
      </c>
      <c r="D6" s="3717"/>
      <c r="E6" s="3720" t="s">
        <v>3664</v>
      </c>
      <c r="F6" s="3721"/>
      <c r="G6" s="3716" t="s">
        <v>3665</v>
      </c>
      <c r="H6" s="3717"/>
      <c r="I6" s="3716" t="s">
        <v>3666</v>
      </c>
      <c r="J6" s="3717"/>
      <c r="K6" s="559" t="s">
        <v>1675</v>
      </c>
      <c r="L6" s="2706"/>
      <c r="M6" s="2707"/>
      <c r="N6" s="2707"/>
      <c r="O6" s="2707"/>
      <c r="P6" s="3731"/>
      <c r="Q6" s="3732"/>
      <c r="R6" s="3710"/>
      <c r="S6" s="3711"/>
      <c r="T6" s="3733"/>
      <c r="U6" s="3734"/>
      <c r="V6" s="3735"/>
      <c r="W6" s="3735"/>
      <c r="X6" s="1352"/>
      <c r="Y6" s="3733"/>
      <c r="Z6" s="3734"/>
      <c r="AA6" s="3705"/>
      <c r="AB6" s="3705"/>
      <c r="AC6" s="3705"/>
    </row>
    <row r="7" spans="1:30" s="108" customFormat="1" ht="15.75" thickBot="1">
      <c r="A7" s="362" t="s">
        <v>1676</v>
      </c>
      <c r="B7" s="363"/>
      <c r="C7" s="364">
        <f>'数据-取费表'!B2</f>
        <v>45124</v>
      </c>
      <c r="D7" s="365">
        <v>100</v>
      </c>
      <c r="E7" s="366">
        <f>案例!AC3</f>
        <v>44036.000497685185</v>
      </c>
      <c r="F7" s="367">
        <f>SUMIF(69:69,YEAR(E7)&amp;"-"&amp;INT((MONTH(E7)+2)/3),70:70)</f>
        <v>94</v>
      </c>
      <c r="G7" s="1968">
        <f>案例!AC4</f>
        <v>43970.000497685185</v>
      </c>
      <c r="H7" s="365">
        <f>SUMIF(69:69,YEAR(G7)&amp;"-"&amp;INT((MONTH(G7)+2)/3),70:70)</f>
        <v>93.5</v>
      </c>
      <c r="I7" s="1968">
        <f>案例!AC8</f>
        <v>43787.000497685185</v>
      </c>
      <c r="J7" s="365">
        <f>SUMIF(69:69,YEAR(I7)&amp;"-"&amp;INT((MONTH(I7)+2)/3),70:70)</f>
        <v>92.5</v>
      </c>
      <c r="K7" s="560"/>
      <c r="L7" s="2708"/>
      <c r="M7" s="2709"/>
      <c r="N7" s="2709"/>
      <c r="O7" s="2709"/>
      <c r="P7" s="3706" t="s">
        <v>1677</v>
      </c>
      <c r="Q7" s="3736"/>
      <c r="R7" s="701" t="s">
        <v>14</v>
      </c>
      <c r="S7" s="702">
        <f t="shared" ref="S7:S15" si="0">F7</f>
        <v>94</v>
      </c>
      <c r="T7" s="701" t="s">
        <v>14</v>
      </c>
      <c r="U7" s="702">
        <f t="shared" ref="U7:U15" si="1">H7</f>
        <v>93.5</v>
      </c>
      <c r="V7" s="701" t="s">
        <v>14</v>
      </c>
      <c r="W7" s="702">
        <f t="shared" ref="W7:W15" si="2">J7</f>
        <v>92.5</v>
      </c>
      <c r="X7" s="703"/>
      <c r="Y7" s="3706" t="s">
        <v>1677</v>
      </c>
      <c r="Z7" s="3707"/>
      <c r="AA7" s="704">
        <f>D7/F7</f>
        <v>1.0638297872340425</v>
      </c>
      <c r="AB7" s="704">
        <f>D7/H7</f>
        <v>1.0695187165775402</v>
      </c>
      <c r="AC7" s="704">
        <f>D7/J7</f>
        <v>1.0810810810810811</v>
      </c>
    </row>
    <row r="8" spans="1:30" s="108" customFormat="1" ht="15.75" thickBot="1">
      <c r="A8" s="362" t="s">
        <v>1678</v>
      </c>
      <c r="B8" s="363"/>
      <c r="C8" s="368" t="s">
        <v>1679</v>
      </c>
      <c r="D8" s="365">
        <v>100</v>
      </c>
      <c r="E8" s="368" t="s">
        <v>3472</v>
      </c>
      <c r="F8" s="367">
        <f>SUMIF(72:72,E8,73:73)-SUMIF(72:72,C8,73:73)+100</f>
        <v>100</v>
      </c>
      <c r="G8" s="368" t="s">
        <v>3472</v>
      </c>
      <c r="H8" s="365">
        <f>SUMIF(72:72,G8,73:73)-SUMIF(72:72,C8,73:73)+100</f>
        <v>100</v>
      </c>
      <c r="I8" s="368" t="s">
        <v>3472</v>
      </c>
      <c r="J8" s="365">
        <f>SUMIF(72:72,I8,73:73)-SUMIF(72:72,C8,73:73)+100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45" si="3">D8/F8</f>
        <v>1</v>
      </c>
      <c r="AB8" s="704">
        <f t="shared" ref="AB8:AB45" si="4">D8/H8</f>
        <v>1</v>
      </c>
      <c r="AC8" s="704">
        <f t="shared" ref="AC8:AC45" si="5">D8/J8</f>
        <v>1</v>
      </c>
    </row>
    <row r="9" spans="1:30" s="108" customFormat="1">
      <c r="A9" s="369" t="s">
        <v>1681</v>
      </c>
      <c r="B9" s="63" t="s">
        <v>1682</v>
      </c>
      <c r="C9" s="1971" t="s">
        <v>3480</v>
      </c>
      <c r="D9" s="126">
        <v>100</v>
      </c>
      <c r="E9" s="1971" t="s">
        <v>3480</v>
      </c>
      <c r="F9" s="126">
        <f>SUMIF(74:74,E9,75:75)-SUMIF(74:74,C9,75:75)+100</f>
        <v>100</v>
      </c>
      <c r="G9" s="1971" t="s">
        <v>3480</v>
      </c>
      <c r="H9" s="126">
        <f>SUMIF(74:74,G9,75:75)-SUMIF(74:74,C9,75:75)+100</f>
        <v>100</v>
      </c>
      <c r="I9" s="1971" t="s">
        <v>3480</v>
      </c>
      <c r="J9" s="126">
        <f>SUMIF(74:74,I9,75:75)-SUMIF(74:74,C9,75:75)+100</f>
        <v>100</v>
      </c>
      <c r="K9" s="560"/>
      <c r="L9" s="2708"/>
      <c r="M9" s="2709"/>
      <c r="N9" s="2709"/>
      <c r="O9" s="2763"/>
      <c r="P9" s="3722"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102</v>
      </c>
      <c r="G10" s="414"/>
      <c r="H10" s="127">
        <f>ROUND(100/'数据-取费表'!G16,0)</f>
        <v>102</v>
      </c>
      <c r="I10" s="414"/>
      <c r="J10" s="127">
        <f>ROUND(100/'数据-取费表'!G16,0)</f>
        <v>102</v>
      </c>
      <c r="K10" s="620"/>
      <c r="L10" s="2710"/>
      <c r="M10" s="2711"/>
      <c r="N10" s="2711"/>
      <c r="O10" s="2764"/>
      <c r="P10" s="3722"/>
      <c r="Q10" s="1340" t="str">
        <f t="shared" si="6"/>
        <v>土地使用年限（年）</v>
      </c>
      <c r="R10" s="701" t="s">
        <v>14</v>
      </c>
      <c r="S10" s="702">
        <f t="shared" si="0"/>
        <v>102</v>
      </c>
      <c r="T10" s="701" t="s">
        <v>14</v>
      </c>
      <c r="U10" s="702">
        <f t="shared" si="1"/>
        <v>102</v>
      </c>
      <c r="V10" s="701" t="s">
        <v>14</v>
      </c>
      <c r="W10" s="702">
        <f t="shared" si="2"/>
        <v>102</v>
      </c>
      <c r="X10" s="703"/>
      <c r="Y10" s="3679"/>
      <c r="Z10" s="52" t="str">
        <f t="shared" si="7"/>
        <v>土地使用年限（年）</v>
      </c>
      <c r="AA10" s="704">
        <f t="shared" si="3"/>
        <v>0.98039215686274506</v>
      </c>
      <c r="AB10" s="704">
        <f t="shared" si="4"/>
        <v>0.98039215686274506</v>
      </c>
      <c r="AC10" s="704">
        <f t="shared" si="5"/>
        <v>0.98039215686274506</v>
      </c>
    </row>
    <row r="11" spans="1:30" ht="15">
      <c r="A11" s="379"/>
      <c r="B11" s="375" t="s">
        <v>1686</v>
      </c>
      <c r="C11" s="380">
        <f>'数据-汇总表'!I7</f>
        <v>2</v>
      </c>
      <c r="D11" s="127">
        <v>100</v>
      </c>
      <c r="E11" s="380">
        <v>1.4</v>
      </c>
      <c r="F11" s="127">
        <f>LOOKUP(E11,79:79,80:80)-LOOKUP(C11,79:79,80:80)+100</f>
        <v>102</v>
      </c>
      <c r="G11" s="381">
        <v>1.6</v>
      </c>
      <c r="H11" s="127">
        <f>LOOKUP(G11,79:79,80:80)-LOOKUP(C11,79:79,80:80)+100</f>
        <v>102</v>
      </c>
      <c r="I11" s="380">
        <v>2.15</v>
      </c>
      <c r="J11" s="127">
        <f>LOOKUP(I11,79:79,80:80)-LOOKUP(C11,79:79,80:80)+100</f>
        <v>100</v>
      </c>
      <c r="K11" s="621">
        <v>2</v>
      </c>
      <c r="L11" s="2712"/>
      <c r="M11" s="2707"/>
      <c r="N11" s="2707"/>
      <c r="O11" s="2765"/>
      <c r="P11" s="3722"/>
      <c r="Q11" s="1340" t="str">
        <f t="shared" si="6"/>
        <v>容积率</v>
      </c>
      <c r="R11" s="701" t="s">
        <v>14</v>
      </c>
      <c r="S11" s="702">
        <f t="shared" si="0"/>
        <v>102</v>
      </c>
      <c r="T11" s="701" t="s">
        <v>14</v>
      </c>
      <c r="U11" s="702">
        <f t="shared" si="1"/>
        <v>102</v>
      </c>
      <c r="V11" s="701" t="s">
        <v>14</v>
      </c>
      <c r="W11" s="702">
        <f t="shared" si="2"/>
        <v>100</v>
      </c>
      <c r="X11" s="703"/>
      <c r="Y11" s="3679"/>
      <c r="Z11" s="52" t="str">
        <f t="shared" si="7"/>
        <v>容积率</v>
      </c>
      <c r="AA11" s="704">
        <f t="shared" si="3"/>
        <v>0.98039215686274506</v>
      </c>
      <c r="AB11" s="704">
        <f t="shared" si="4"/>
        <v>0.98039215686274506</v>
      </c>
      <c r="AC11" s="704">
        <f t="shared" si="5"/>
        <v>1</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08"/>
      <c r="M12" s="2709"/>
      <c r="N12" s="2709"/>
      <c r="O12" s="2763"/>
      <c r="P12" s="3722"/>
      <c r="Q12" s="1340" t="str">
        <f t="shared" si="6"/>
        <v>配建</v>
      </c>
      <c r="R12" s="701" t="s">
        <v>14</v>
      </c>
      <c r="S12" s="702">
        <f t="shared" si="0"/>
        <v>100</v>
      </c>
      <c r="T12" s="701" t="s">
        <v>14</v>
      </c>
      <c r="U12" s="702">
        <f t="shared" si="1"/>
        <v>100</v>
      </c>
      <c r="V12" s="701" t="s">
        <v>14</v>
      </c>
      <c r="W12" s="702">
        <f t="shared" si="2"/>
        <v>100</v>
      </c>
      <c r="X12" s="703"/>
      <c r="Y12" s="3679"/>
      <c r="Z12" s="52" t="str">
        <f t="shared" si="7"/>
        <v>配建</v>
      </c>
      <c r="AA12" s="704">
        <f>D12/F12</f>
        <v>1</v>
      </c>
      <c r="AB12" s="704">
        <f>D12/H12</f>
        <v>1</v>
      </c>
      <c r="AC12" s="704">
        <f>D12/J12</f>
        <v>1</v>
      </c>
    </row>
    <row r="13" spans="1:30" ht="15">
      <c r="A13" s="379"/>
      <c r="B13" s="1889" t="s">
        <v>3639</v>
      </c>
      <c r="C13" s="3499" t="s">
        <v>3641</v>
      </c>
      <c r="D13" s="386">
        <v>100</v>
      </c>
      <c r="E13" s="3499" t="s">
        <v>3641</v>
      </c>
      <c r="F13" s="127">
        <f>SUMIF(83:83,E13,84:84)-SUMIF(83:83,C13,84:84)+100</f>
        <v>100</v>
      </c>
      <c r="G13" s="3499" t="s">
        <v>3641</v>
      </c>
      <c r="H13" s="386">
        <f>SUMIF(83:83,G13,84:84)-SUMIF(83:83,C13,84:84)+100</f>
        <v>100</v>
      </c>
      <c r="I13" s="3499" t="s">
        <v>3641</v>
      </c>
      <c r="J13" s="386">
        <f>SUMIF(83:83,I13,84:84)-SUMIF(83:83,C13,84:84)+100</f>
        <v>100</v>
      </c>
      <c r="K13" s="620"/>
      <c r="L13" s="2713"/>
      <c r="M13" s="2707"/>
      <c r="N13" s="2707"/>
      <c r="O13" s="2765"/>
      <c r="P13" s="3722"/>
      <c r="Q13" s="1340" t="str">
        <f t="shared" si="6"/>
        <v>是否限价</v>
      </c>
      <c r="R13" s="701" t="s">
        <v>14</v>
      </c>
      <c r="S13" s="702">
        <f t="shared" si="0"/>
        <v>100</v>
      </c>
      <c r="T13" s="701" t="s">
        <v>14</v>
      </c>
      <c r="U13" s="702">
        <f t="shared" si="1"/>
        <v>100</v>
      </c>
      <c r="V13" s="701" t="s">
        <v>14</v>
      </c>
      <c r="W13" s="702">
        <f t="shared" si="2"/>
        <v>100</v>
      </c>
      <c r="X13" s="703"/>
      <c r="Y13" s="3679"/>
      <c r="Z13" s="52" t="str">
        <f t="shared" si="7"/>
        <v>是否限价</v>
      </c>
      <c r="AA13" s="704">
        <f>D13/F13</f>
        <v>1</v>
      </c>
      <c r="AB13" s="704">
        <f>D13/H13</f>
        <v>1</v>
      </c>
      <c r="AC13" s="704">
        <f>D13/J13</f>
        <v>1</v>
      </c>
    </row>
    <row r="14" spans="1:30" ht="15.75" thickBot="1">
      <c r="A14" s="387"/>
      <c r="B14" s="1889" t="s">
        <v>3640</v>
      </c>
      <c r="C14" s="3500">
        <v>0.8</v>
      </c>
      <c r="D14" s="389">
        <v>100</v>
      </c>
      <c r="E14" s="3502">
        <v>0.85</v>
      </c>
      <c r="F14" s="389">
        <f>SUMIF(85:85,E14,86:86)-SUMIF(85:85,C14,86:86)+100</f>
        <v>102</v>
      </c>
      <c r="G14" s="3502">
        <v>0.85</v>
      </c>
      <c r="H14" s="389">
        <f>SUMIF(85:85,G14,86:86)-SUMIF(85:85,C14,86:86)+100</f>
        <v>102</v>
      </c>
      <c r="I14" s="3502">
        <v>0.85</v>
      </c>
      <c r="J14" s="389">
        <f>SUMIF(85:85,I14,86:86)-SUMIF(85:85,C14,86:86)+100</f>
        <v>102</v>
      </c>
      <c r="K14" s="620"/>
      <c r="L14" s="2713"/>
      <c r="M14" s="2707"/>
      <c r="N14" s="2707"/>
      <c r="O14" s="2765"/>
      <c r="P14" s="3722"/>
      <c r="Q14" s="1340" t="str">
        <f t="shared" si="6"/>
        <v>个人份额占比</v>
      </c>
      <c r="R14" s="701" t="s">
        <v>14</v>
      </c>
      <c r="S14" s="702">
        <f t="shared" si="0"/>
        <v>102</v>
      </c>
      <c r="T14" s="701" t="s">
        <v>14</v>
      </c>
      <c r="U14" s="702">
        <f t="shared" si="1"/>
        <v>102</v>
      </c>
      <c r="V14" s="701" t="s">
        <v>14</v>
      </c>
      <c r="W14" s="702">
        <f t="shared" si="2"/>
        <v>102</v>
      </c>
      <c r="X14" s="703"/>
      <c r="Y14" s="3679"/>
      <c r="Z14" s="52" t="str">
        <f t="shared" si="7"/>
        <v>个人份额占比</v>
      </c>
      <c r="AA14" s="704">
        <f>D14/F14</f>
        <v>0.98039215686274506</v>
      </c>
      <c r="AB14" s="704">
        <f>D14/H14</f>
        <v>0.98039215686274506</v>
      </c>
      <c r="AC14" s="704">
        <f>D14/J14</f>
        <v>0.98039215686274506</v>
      </c>
    </row>
    <row r="15" spans="1:30" ht="15">
      <c r="A15" s="391" t="s">
        <v>1687</v>
      </c>
      <c r="B15" s="61" t="s">
        <v>1257</v>
      </c>
      <c r="C15" s="1892" t="str">
        <f>估价对象房地状况!C15</f>
        <v>一般</v>
      </c>
      <c r="D15" s="392">
        <v>100</v>
      </c>
      <c r="E15" s="393"/>
      <c r="F15" s="392">
        <f>SUMIF(87:87,E16,88:88)-SUMIF(87:87,C16,88:88)+100</f>
        <v>100</v>
      </c>
      <c r="G15" s="393"/>
      <c r="H15" s="392">
        <f>SUMIF(87:87,G16,88:88)-SUMIF(87:87,C16,88:88)+100</f>
        <v>103</v>
      </c>
      <c r="I15" s="395"/>
      <c r="J15" s="392">
        <f>SUMIF(87:87,I16,88:88)-SUMIF(87:87,C16,88:88)+100</f>
        <v>103</v>
      </c>
      <c r="K15" s="621">
        <v>3</v>
      </c>
      <c r="L15" s="2713"/>
      <c r="M15" s="2707"/>
      <c r="N15" s="2707"/>
      <c r="O15" s="2765"/>
      <c r="P15" s="3737" t="s">
        <v>1688</v>
      </c>
      <c r="Q15" s="1349" t="str">
        <f t="shared" si="6"/>
        <v>居住社区成熟度</v>
      </c>
      <c r="R15" s="705" t="s">
        <v>14</v>
      </c>
      <c r="S15" s="706">
        <f t="shared" si="0"/>
        <v>100</v>
      </c>
      <c r="T15" s="705" t="s">
        <v>14</v>
      </c>
      <c r="U15" s="706">
        <f t="shared" si="1"/>
        <v>103</v>
      </c>
      <c r="V15" s="705" t="s">
        <v>14</v>
      </c>
      <c r="W15" s="706">
        <f t="shared" si="2"/>
        <v>103</v>
      </c>
      <c r="X15" s="1352"/>
      <c r="Y15" s="3737" t="s">
        <v>1688</v>
      </c>
      <c r="Z15" s="1353" t="str">
        <f t="shared" si="7"/>
        <v>居住社区成熟度</v>
      </c>
      <c r="AA15" s="1350">
        <f t="shared" si="3"/>
        <v>1</v>
      </c>
      <c r="AB15" s="1350">
        <f t="shared" si="4"/>
        <v>0.970873786407767</v>
      </c>
      <c r="AC15" s="1350">
        <f t="shared" si="5"/>
        <v>0.970873786407767</v>
      </c>
    </row>
    <row r="16" spans="1:30" ht="15">
      <c r="A16" s="379"/>
      <c r="B16" s="397"/>
      <c r="C16" s="398" t="s">
        <v>3453</v>
      </c>
      <c r="D16" s="399"/>
      <c r="E16" s="1894" t="s">
        <v>3453</v>
      </c>
      <c r="F16" s="399"/>
      <c r="G16" s="1894" t="s">
        <v>3452</v>
      </c>
      <c r="H16" s="401"/>
      <c r="I16" s="1893" t="s">
        <v>3452</v>
      </c>
      <c r="J16" s="399"/>
      <c r="K16" s="620"/>
      <c r="L16" s="2713"/>
      <c r="M16" s="2707"/>
      <c r="N16" s="2707"/>
      <c r="O16" s="2765"/>
      <c r="P16" s="3738"/>
      <c r="Q16" s="1349"/>
      <c r="R16" s="705"/>
      <c r="S16" s="706"/>
      <c r="T16" s="705"/>
      <c r="U16" s="706"/>
      <c r="V16" s="705"/>
      <c r="W16" s="706"/>
      <c r="X16" s="1352"/>
      <c r="Y16" s="3738"/>
      <c r="Z16" s="1353"/>
      <c r="AA16" s="1350">
        <v>1</v>
      </c>
      <c r="AB16" s="1350">
        <v>1</v>
      </c>
      <c r="AC16" s="1350">
        <v>1</v>
      </c>
    </row>
    <row r="17" spans="1:29" ht="15.75" customHeight="1">
      <c r="A17" s="379"/>
      <c r="B17" s="402" t="s">
        <v>1774</v>
      </c>
      <c r="C17" s="1949">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3"/>
      <c r="M17" s="2707"/>
      <c r="N17" s="2707"/>
      <c r="O17" s="2765"/>
      <c r="P17" s="3738"/>
      <c r="Q17" s="1349" t="str">
        <f>B17</f>
        <v>商业繁华度</v>
      </c>
      <c r="R17" s="705" t="s">
        <v>14</v>
      </c>
      <c r="S17" s="706">
        <f>F17</f>
        <v>100</v>
      </c>
      <c r="T17" s="705" t="s">
        <v>14</v>
      </c>
      <c r="U17" s="706">
        <f>H17</f>
        <v>100</v>
      </c>
      <c r="V17" s="705" t="s">
        <v>14</v>
      </c>
      <c r="W17" s="706">
        <f>J17</f>
        <v>100</v>
      </c>
      <c r="X17" s="1352"/>
      <c r="Y17" s="3738"/>
      <c r="Z17" s="1353" t="str">
        <f>Q17</f>
        <v>商业繁华度</v>
      </c>
      <c r="AA17" s="1350">
        <f t="shared" si="3"/>
        <v>1</v>
      </c>
      <c r="AB17" s="1350">
        <f t="shared" si="4"/>
        <v>1</v>
      </c>
      <c r="AC17" s="1350">
        <f t="shared" si="5"/>
        <v>1</v>
      </c>
    </row>
    <row r="18" spans="1:29" ht="15">
      <c r="A18" s="379"/>
      <c r="B18" s="407"/>
      <c r="C18" s="1897"/>
      <c r="D18" s="401"/>
      <c r="E18" s="1899"/>
      <c r="F18" s="401"/>
      <c r="G18" s="1899"/>
      <c r="H18" s="399"/>
      <c r="I18" s="1898"/>
      <c r="J18" s="399"/>
      <c r="K18" s="620"/>
      <c r="L18" s="2713"/>
      <c r="M18" s="2707"/>
      <c r="N18" s="2707"/>
      <c r="O18" s="2765"/>
      <c r="P18" s="3738"/>
      <c r="Q18" s="1349"/>
      <c r="R18" s="705"/>
      <c r="S18" s="706"/>
      <c r="T18" s="705"/>
      <c r="U18" s="706"/>
      <c r="V18" s="705"/>
      <c r="W18" s="706"/>
      <c r="X18" s="1352"/>
      <c r="Y18" s="3738"/>
      <c r="Z18" s="1353"/>
      <c r="AA18" s="1350">
        <v>1</v>
      </c>
      <c r="AB18" s="1350">
        <v>1</v>
      </c>
      <c r="AC18" s="1350">
        <v>1</v>
      </c>
    </row>
    <row r="19" spans="1:29" ht="15.75" customHeight="1">
      <c r="A19" s="379"/>
      <c r="B19" s="402" t="s">
        <v>1808</v>
      </c>
      <c r="C19" s="1949">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3"/>
      <c r="M19" s="2707"/>
      <c r="N19" s="2707"/>
      <c r="O19" s="2765"/>
      <c r="P19" s="3738"/>
      <c r="Q19" s="1349" t="str">
        <f>B19</f>
        <v>办公集聚程度</v>
      </c>
      <c r="R19" s="705" t="s">
        <v>14</v>
      </c>
      <c r="S19" s="706">
        <f>F19</f>
        <v>100</v>
      </c>
      <c r="T19" s="705" t="s">
        <v>14</v>
      </c>
      <c r="U19" s="706">
        <f>H19</f>
        <v>100</v>
      </c>
      <c r="V19" s="705" t="s">
        <v>14</v>
      </c>
      <c r="W19" s="706">
        <f>J19</f>
        <v>100</v>
      </c>
      <c r="X19" s="1352"/>
      <c r="Y19" s="3738"/>
      <c r="Z19" s="1353" t="str">
        <f>Q19</f>
        <v>办公集聚程度</v>
      </c>
      <c r="AA19" s="1350">
        <f t="shared" si="3"/>
        <v>1</v>
      </c>
      <c r="AB19" s="1350">
        <f t="shared" si="4"/>
        <v>1</v>
      </c>
      <c r="AC19" s="1350">
        <f t="shared" si="5"/>
        <v>1</v>
      </c>
    </row>
    <row r="20" spans="1:29" ht="15">
      <c r="A20" s="379"/>
      <c r="B20" s="407"/>
      <c r="C20" s="398"/>
      <c r="D20" s="399"/>
      <c r="E20" s="1894"/>
      <c r="F20" s="399"/>
      <c r="G20" s="1894"/>
      <c r="H20" s="399"/>
      <c r="I20" s="1893"/>
      <c r="J20" s="399"/>
      <c r="K20" s="620"/>
      <c r="L20" s="2713"/>
      <c r="M20" s="2707"/>
      <c r="N20" s="2707"/>
      <c r="O20" s="2765"/>
      <c r="P20" s="3738"/>
      <c r="Q20" s="1349"/>
      <c r="R20" s="705"/>
      <c r="S20" s="706"/>
      <c r="T20" s="705"/>
      <c r="U20" s="706"/>
      <c r="V20" s="705"/>
      <c r="W20" s="706"/>
      <c r="X20" s="1352"/>
      <c r="Y20" s="3738"/>
      <c r="Z20" s="1353"/>
      <c r="AA20" s="1350">
        <v>1</v>
      </c>
      <c r="AB20" s="1350">
        <v>1</v>
      </c>
      <c r="AC20" s="1350">
        <v>1</v>
      </c>
    </row>
    <row r="21" spans="1:29" ht="15">
      <c r="A21" s="379"/>
      <c r="B21" s="402" t="s">
        <v>1830</v>
      </c>
      <c r="C21" s="1896" t="str">
        <f>估价对象房地状况!C18</f>
        <v>较差</v>
      </c>
      <c r="D21" s="401">
        <v>100</v>
      </c>
      <c r="E21" s="403"/>
      <c r="F21" s="406">
        <f>SUMIF(93:93,E22,94:94)-SUMIF(93:93,C22,94:94)+100</f>
        <v>100</v>
      </c>
      <c r="G21" s="403"/>
      <c r="H21" s="401">
        <f>SUMIF(93:93,G22,94:94)-SUMIF(93:93,C22,94:94)+100</f>
        <v>104</v>
      </c>
      <c r="I21" s="405"/>
      <c r="J21" s="401">
        <f>SUMIF(93:93,I22,94:94)-SUMIF(93:93,C22,94:94)+100</f>
        <v>104</v>
      </c>
      <c r="K21" s="621">
        <v>2</v>
      </c>
      <c r="L21" s="2713"/>
      <c r="M21" s="2707"/>
      <c r="N21" s="2707"/>
      <c r="O21" s="2765"/>
      <c r="P21" s="3738"/>
      <c r="Q21" s="1349" t="str">
        <f>B21</f>
        <v>交通便捷度</v>
      </c>
      <c r="R21" s="705" t="s">
        <v>14</v>
      </c>
      <c r="S21" s="706">
        <f>F21</f>
        <v>100</v>
      </c>
      <c r="T21" s="705" t="s">
        <v>14</v>
      </c>
      <c r="U21" s="706">
        <f>H21</f>
        <v>104</v>
      </c>
      <c r="V21" s="705" t="s">
        <v>14</v>
      </c>
      <c r="W21" s="706">
        <f>J21</f>
        <v>104</v>
      </c>
      <c r="X21" s="1352"/>
      <c r="Y21" s="3738"/>
      <c r="Z21" s="1353" t="str">
        <f>Q21</f>
        <v>交通便捷度</v>
      </c>
      <c r="AA21" s="1350">
        <f t="shared" si="3"/>
        <v>1</v>
      </c>
      <c r="AB21" s="1350">
        <f t="shared" si="4"/>
        <v>0.96153846153846156</v>
      </c>
      <c r="AC21" s="1350">
        <f t="shared" si="5"/>
        <v>0.96153846153846156</v>
      </c>
    </row>
    <row r="22" spans="1:29" ht="15">
      <c r="A22" s="379"/>
      <c r="B22" s="1131"/>
      <c r="C22" s="398" t="s">
        <v>3658</v>
      </c>
      <c r="D22" s="401"/>
      <c r="E22" s="1894" t="s">
        <v>3658</v>
      </c>
      <c r="F22" s="399"/>
      <c r="G22" s="1894" t="s">
        <v>3452</v>
      </c>
      <c r="H22" s="399"/>
      <c r="I22" s="1893" t="s">
        <v>3452</v>
      </c>
      <c r="J22" s="399"/>
      <c r="K22" s="620"/>
      <c r="L22" s="2713"/>
      <c r="M22" s="2707"/>
      <c r="N22" s="2707"/>
      <c r="O22" s="2765"/>
      <c r="P22" s="3738"/>
      <c r="Q22" s="1349"/>
      <c r="R22" s="705"/>
      <c r="S22" s="706"/>
      <c r="T22" s="705"/>
      <c r="U22" s="706"/>
      <c r="V22" s="705"/>
      <c r="W22" s="706"/>
      <c r="X22" s="1352"/>
      <c r="Y22" s="3738"/>
      <c r="Z22" s="1353"/>
      <c r="AA22" s="1350">
        <v>1</v>
      </c>
      <c r="AB22" s="1350">
        <v>1</v>
      </c>
      <c r="AC22" s="1350">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3"/>
      <c r="M23" s="2707"/>
      <c r="N23" s="2707"/>
      <c r="O23" s="2765"/>
      <c r="P23" s="3738"/>
      <c r="Q23" s="1349" t="str">
        <f t="shared" ref="Q23:Q37" si="8">B23</f>
        <v>区域土地利用方向</v>
      </c>
      <c r="R23" s="705" t="s">
        <v>14</v>
      </c>
      <c r="S23" s="706">
        <f>F23</f>
        <v>100</v>
      </c>
      <c r="T23" s="705" t="s">
        <v>14</v>
      </c>
      <c r="U23" s="706">
        <f>H23</f>
        <v>100</v>
      </c>
      <c r="V23" s="705" t="s">
        <v>14</v>
      </c>
      <c r="W23" s="706">
        <f>J23</f>
        <v>100</v>
      </c>
      <c r="X23" s="1352"/>
      <c r="Y23" s="3738"/>
      <c r="Z23" s="1353" t="str">
        <f>Q23</f>
        <v>区域土地利用方向</v>
      </c>
      <c r="AA23" s="1350">
        <f t="shared" si="3"/>
        <v>1</v>
      </c>
      <c r="AB23" s="1350">
        <f t="shared" si="4"/>
        <v>1</v>
      </c>
      <c r="AC23" s="1350">
        <f t="shared" si="5"/>
        <v>1</v>
      </c>
    </row>
    <row r="24" spans="1:29" ht="15">
      <c r="A24" s="358"/>
      <c r="B24" s="407"/>
      <c r="C24" s="565" t="s">
        <v>3452</v>
      </c>
      <c r="D24" s="399"/>
      <c r="E24" s="565" t="s">
        <v>3452</v>
      </c>
      <c r="F24" s="399"/>
      <c r="G24" s="565" t="s">
        <v>3452</v>
      </c>
      <c r="H24" s="399"/>
      <c r="I24" s="565" t="s">
        <v>3452</v>
      </c>
      <c r="J24" s="399"/>
      <c r="K24" s="740"/>
      <c r="L24" s="2713"/>
      <c r="M24" s="2707"/>
      <c r="N24" s="2707"/>
      <c r="O24" s="2765"/>
      <c r="P24" s="3738"/>
      <c r="Q24" s="1349"/>
      <c r="R24" s="705"/>
      <c r="S24" s="706"/>
      <c r="T24" s="705"/>
      <c r="U24" s="706"/>
      <c r="V24" s="705"/>
      <c r="W24" s="706"/>
      <c r="X24" s="1352"/>
      <c r="Y24" s="3738"/>
      <c r="Z24" s="1353"/>
      <c r="AA24" s="1350"/>
      <c r="AB24" s="1350"/>
      <c r="AC24" s="1350"/>
    </row>
    <row r="25" spans="1:29" ht="27">
      <c r="A25" s="358"/>
      <c r="B25" s="1131" t="s">
        <v>1869</v>
      </c>
      <c r="C25" s="1949"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v>3</v>
      </c>
      <c r="L25" s="2713"/>
      <c r="M25" s="2707"/>
      <c r="N25" s="2707"/>
      <c r="O25" s="2765"/>
      <c r="P25" s="3738"/>
      <c r="Q25" s="1349" t="str">
        <f t="shared" si="8"/>
        <v>自然及人文环境状况</v>
      </c>
      <c r="R25" s="705" t="s">
        <v>14</v>
      </c>
      <c r="S25" s="706">
        <f>F25</f>
        <v>100</v>
      </c>
      <c r="T25" s="705" t="s">
        <v>14</v>
      </c>
      <c r="U25" s="706">
        <f>H25</f>
        <v>100</v>
      </c>
      <c r="V25" s="705" t="s">
        <v>14</v>
      </c>
      <c r="W25" s="706">
        <f>J25</f>
        <v>100</v>
      </c>
      <c r="X25" s="1352"/>
      <c r="Y25" s="3738"/>
      <c r="Z25" s="1353" t="str">
        <f>Q25</f>
        <v>自然及人文环境状况</v>
      </c>
      <c r="AA25" s="1350">
        <f t="shared" si="3"/>
        <v>1</v>
      </c>
      <c r="AB25" s="1350">
        <f t="shared" si="4"/>
        <v>1</v>
      </c>
      <c r="AC25" s="1350">
        <f t="shared" si="5"/>
        <v>1</v>
      </c>
    </row>
    <row r="26" spans="1:29" ht="15">
      <c r="A26" s="358"/>
      <c r="B26" s="407"/>
      <c r="C26" s="398" t="s">
        <v>3453</v>
      </c>
      <c r="D26" s="399"/>
      <c r="E26" s="398" t="s">
        <v>3453</v>
      </c>
      <c r="F26" s="399"/>
      <c r="G26" s="398" t="s">
        <v>3453</v>
      </c>
      <c r="H26" s="399"/>
      <c r="I26" s="398" t="s">
        <v>3453</v>
      </c>
      <c r="J26" s="399"/>
      <c r="K26" s="620"/>
      <c r="L26" s="2713"/>
      <c r="M26" s="2707"/>
      <c r="N26" s="2707"/>
      <c r="O26" s="2765"/>
      <c r="P26" s="3738"/>
      <c r="Q26" s="1349"/>
      <c r="R26" s="705"/>
      <c r="S26" s="706"/>
      <c r="T26" s="705"/>
      <c r="U26" s="706"/>
      <c r="V26" s="705"/>
      <c r="W26" s="706"/>
      <c r="X26" s="1352"/>
      <c r="Y26" s="3738"/>
      <c r="Z26" s="1353"/>
      <c r="AA26" s="1350">
        <v>1</v>
      </c>
      <c r="AB26" s="1350">
        <v>1</v>
      </c>
      <c r="AC26" s="1350">
        <v>1</v>
      </c>
    </row>
    <row r="27" spans="1:29" s="108" customFormat="1" ht="15">
      <c r="A27" s="597"/>
      <c r="B27" s="1131" t="s">
        <v>1775</v>
      </c>
      <c r="C27" s="1896" t="str">
        <f>估价对象房地状况!C21</f>
        <v>较差</v>
      </c>
      <c r="D27" s="401">
        <v>100</v>
      </c>
      <c r="E27" s="403"/>
      <c r="F27" s="401">
        <f>SUMIF(99:99,E28,100:100)-SUMIF(99:99,C28,100:100)+100</f>
        <v>100</v>
      </c>
      <c r="G27" s="403"/>
      <c r="H27" s="401">
        <f>SUMIF(99:99,G28,100:100)-SUMIF(99:99,C28,100:100)+100</f>
        <v>104</v>
      </c>
      <c r="I27" s="405"/>
      <c r="J27" s="401">
        <f>SUMIF(99:99,I28,100:100)-SUMIF(99:99,C28,100:100)+100</f>
        <v>104</v>
      </c>
      <c r="K27" s="621">
        <v>2</v>
      </c>
      <c r="L27" s="2708"/>
      <c r="M27" s="2709"/>
      <c r="N27" s="2709"/>
      <c r="O27" s="2763"/>
      <c r="P27" s="3738"/>
      <c r="Q27" s="1340" t="str">
        <f t="shared" si="8"/>
        <v>公共配套设施</v>
      </c>
      <c r="R27" s="701" t="s">
        <v>14</v>
      </c>
      <c r="S27" s="702">
        <f>F27</f>
        <v>100</v>
      </c>
      <c r="T27" s="701" t="s">
        <v>14</v>
      </c>
      <c r="U27" s="702">
        <f>H27</f>
        <v>104</v>
      </c>
      <c r="V27" s="701" t="s">
        <v>14</v>
      </c>
      <c r="W27" s="702">
        <f>J27</f>
        <v>104</v>
      </c>
      <c r="X27" s="703"/>
      <c r="Y27" s="3738"/>
      <c r="Z27" s="52" t="str">
        <f>Q27</f>
        <v>公共配套设施</v>
      </c>
      <c r="AA27" s="1350">
        <f>D27/F27</f>
        <v>1</v>
      </c>
      <c r="AB27" s="1350">
        <f>D27/H27</f>
        <v>0.96153846153846156</v>
      </c>
      <c r="AC27" s="1350">
        <f>D27/J27</f>
        <v>0.96153846153846156</v>
      </c>
    </row>
    <row r="28" spans="1:29" s="108" customFormat="1" ht="15">
      <c r="A28" s="597"/>
      <c r="B28" s="407"/>
      <c r="C28" s="1972" t="s">
        <v>3658</v>
      </c>
      <c r="D28" s="399"/>
      <c r="E28" s="1972" t="s">
        <v>3658</v>
      </c>
      <c r="F28" s="399"/>
      <c r="G28" s="1900" t="s">
        <v>3452</v>
      </c>
      <c r="H28" s="399"/>
      <c r="I28" s="1900" t="s">
        <v>3452</v>
      </c>
      <c r="J28" s="399"/>
      <c r="K28" s="620"/>
      <c r="L28" s="2708"/>
      <c r="M28" s="2709"/>
      <c r="N28" s="2709"/>
      <c r="O28" s="2763"/>
      <c r="P28" s="3738"/>
      <c r="Q28" s="1340"/>
      <c r="R28" s="701"/>
      <c r="S28" s="702"/>
      <c r="T28" s="701"/>
      <c r="U28" s="702"/>
      <c r="V28" s="701"/>
      <c r="W28" s="702"/>
      <c r="X28" s="703"/>
      <c r="Y28" s="3738"/>
      <c r="Z28" s="52"/>
      <c r="AA28" s="1350">
        <v>1</v>
      </c>
      <c r="AB28" s="1350">
        <v>1</v>
      </c>
      <c r="AC28" s="1350">
        <v>1</v>
      </c>
    </row>
    <row r="29" spans="1:29" s="108" customFormat="1" ht="15">
      <c r="A29" s="597"/>
      <c r="B29" s="1131" t="s">
        <v>1776</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08"/>
      <c r="M29" s="2709"/>
      <c r="N29" s="2709"/>
      <c r="O29" s="2763"/>
      <c r="P29" s="3738"/>
      <c r="Q29" s="1340"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0">
        <f>D29/F29</f>
        <v>1</v>
      </c>
      <c r="AB29" s="1350">
        <f>D29/H29</f>
        <v>1</v>
      </c>
      <c r="AC29" s="1350">
        <f>D29/J29</f>
        <v>1</v>
      </c>
    </row>
    <row r="30" spans="1:29" s="108" customFormat="1" ht="15">
      <c r="A30" s="597"/>
      <c r="B30" s="407"/>
      <c r="C30" s="1972" t="s">
        <v>3454</v>
      </c>
      <c r="D30" s="399"/>
      <c r="E30" s="1972" t="s">
        <v>3454</v>
      </c>
      <c r="F30" s="399"/>
      <c r="G30" s="1972" t="s">
        <v>3454</v>
      </c>
      <c r="H30" s="399"/>
      <c r="I30" s="1972" t="s">
        <v>3454</v>
      </c>
      <c r="J30" s="399"/>
      <c r="K30" s="620"/>
      <c r="L30" s="2708"/>
      <c r="M30" s="2709"/>
      <c r="N30" s="2709"/>
      <c r="O30" s="2763"/>
      <c r="P30" s="3738"/>
      <c r="Q30" s="1340"/>
      <c r="R30" s="701"/>
      <c r="S30" s="702"/>
      <c r="T30" s="701"/>
      <c r="U30" s="702"/>
      <c r="V30" s="701"/>
      <c r="W30" s="702"/>
      <c r="X30" s="703"/>
      <c r="Y30" s="3738"/>
      <c r="Z30" s="52"/>
      <c r="AA30" s="1350">
        <v>1</v>
      </c>
      <c r="AB30" s="1350">
        <v>1</v>
      </c>
      <c r="AC30" s="1350">
        <v>1</v>
      </c>
    </row>
    <row r="31" spans="1:29" ht="15">
      <c r="A31" s="379"/>
      <c r="B31" s="407" t="s">
        <v>1777</v>
      </c>
      <c r="C31" s="565" t="s">
        <v>3659</v>
      </c>
      <c r="D31" s="386">
        <v>100</v>
      </c>
      <c r="E31" s="565" t="s">
        <v>3661</v>
      </c>
      <c r="F31" s="386">
        <f>SUMIF(103:103,E31,104:104)-SUMIF(103:103,C31,104:104)+100</f>
        <v>98</v>
      </c>
      <c r="G31" s="582" t="s">
        <v>3660</v>
      </c>
      <c r="H31" s="386">
        <f>SUMIF(103:103,G31,104:104)-SUMIF(103:103,C31,104:104)+100</f>
        <v>96</v>
      </c>
      <c r="I31" s="582" t="s">
        <v>3661</v>
      </c>
      <c r="J31" s="386">
        <f>SUMIF(103:103,I31,104:104)-SUMIF(103:103,C31,104:104)+100</f>
        <v>98</v>
      </c>
      <c r="K31" s="621">
        <v>2</v>
      </c>
      <c r="L31" s="2713"/>
      <c r="M31" s="2707"/>
      <c r="N31" s="2707"/>
      <c r="O31" s="2765"/>
      <c r="P31" s="3738"/>
      <c r="Q31" s="1349" t="str">
        <f t="shared" si="8"/>
        <v>临街状况</v>
      </c>
      <c r="R31" s="705" t="s">
        <v>14</v>
      </c>
      <c r="S31" s="706">
        <f t="shared" ref="S31:S45" si="10">F31</f>
        <v>98</v>
      </c>
      <c r="T31" s="705" t="s">
        <v>14</v>
      </c>
      <c r="U31" s="706">
        <f t="shared" ref="U31:U45" si="11">H31</f>
        <v>96</v>
      </c>
      <c r="V31" s="705" t="s">
        <v>14</v>
      </c>
      <c r="W31" s="706">
        <f t="shared" ref="W31:W45" si="12">J31</f>
        <v>98</v>
      </c>
      <c r="X31" s="1352"/>
      <c r="Y31" s="3738"/>
      <c r="Z31" s="1353" t="str">
        <f t="shared" ref="Z31:Z45" si="13">Q31</f>
        <v>临街状况</v>
      </c>
      <c r="AA31" s="1350">
        <f t="shared" si="3"/>
        <v>1.0204081632653061</v>
      </c>
      <c r="AB31" s="1350">
        <f t="shared" si="4"/>
        <v>1.0416666666666667</v>
      </c>
      <c r="AC31" s="1350">
        <f t="shared" si="5"/>
        <v>1.0204081632653061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1</v>
      </c>
      <c r="L32" s="2713"/>
      <c r="M32" s="2707"/>
      <c r="N32" s="2707"/>
      <c r="O32" s="2765"/>
      <c r="P32" s="3738"/>
      <c r="Q32" s="1349" t="str">
        <f t="shared" si="8"/>
        <v>毗邻道路的类型与等级</v>
      </c>
      <c r="R32" s="705" t="s">
        <v>14</v>
      </c>
      <c r="S32" s="706">
        <f t="shared" si="10"/>
        <v>100</v>
      </c>
      <c r="T32" s="705" t="s">
        <v>14</v>
      </c>
      <c r="U32" s="706">
        <f t="shared" si="11"/>
        <v>100</v>
      </c>
      <c r="V32" s="705" t="s">
        <v>14</v>
      </c>
      <c r="W32" s="706">
        <f t="shared" si="12"/>
        <v>100</v>
      </c>
      <c r="X32" s="1352"/>
      <c r="Y32" s="3738"/>
      <c r="Z32" s="1353" t="str">
        <f t="shared" si="13"/>
        <v>毗邻道路的类型与等级</v>
      </c>
      <c r="AA32" s="1350">
        <f t="shared" si="3"/>
        <v>1</v>
      </c>
      <c r="AB32" s="1350">
        <f t="shared" si="4"/>
        <v>1</v>
      </c>
      <c r="AC32" s="1350">
        <f t="shared" si="5"/>
        <v>1</v>
      </c>
    </row>
    <row r="33" spans="1:29" ht="15">
      <c r="A33" s="379"/>
      <c r="B33" s="407"/>
      <c r="C33" s="398" t="s">
        <v>3645</v>
      </c>
      <c r="D33" s="399"/>
      <c r="E33" s="398" t="s">
        <v>3645</v>
      </c>
      <c r="F33" s="399"/>
      <c r="G33" s="398" t="s">
        <v>3645</v>
      </c>
      <c r="H33" s="399"/>
      <c r="I33" s="398" t="s">
        <v>3645</v>
      </c>
      <c r="J33" s="399"/>
      <c r="K33" s="562"/>
      <c r="L33" s="2713"/>
      <c r="M33" s="2707"/>
      <c r="N33" s="2707"/>
      <c r="O33" s="2765"/>
      <c r="P33" s="3738"/>
      <c r="Q33" s="1349"/>
      <c r="R33" s="705"/>
      <c r="S33" s="706"/>
      <c r="T33" s="705"/>
      <c r="U33" s="706"/>
      <c r="V33" s="705"/>
      <c r="W33" s="706"/>
      <c r="X33" s="1352"/>
      <c r="Y33" s="3738"/>
      <c r="Z33" s="1353"/>
      <c r="AA33" s="1350">
        <v>1</v>
      </c>
      <c r="AB33" s="1350">
        <v>1</v>
      </c>
      <c r="AC33" s="1350">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3"/>
      <c r="M34" s="2707"/>
      <c r="N34" s="2707"/>
      <c r="O34" s="2765"/>
      <c r="P34" s="3738"/>
      <c r="Q34" s="1349" t="str">
        <f t="shared" si="8"/>
        <v>土地级别</v>
      </c>
      <c r="R34" s="705" t="s">
        <v>14</v>
      </c>
      <c r="S34" s="706">
        <f t="shared" si="10"/>
        <v>100</v>
      </c>
      <c r="T34" s="705" t="s">
        <v>14</v>
      </c>
      <c r="U34" s="706">
        <f t="shared" si="11"/>
        <v>100</v>
      </c>
      <c r="V34" s="705" t="s">
        <v>14</v>
      </c>
      <c r="W34" s="706">
        <f t="shared" si="12"/>
        <v>100</v>
      </c>
      <c r="X34" s="1352"/>
      <c r="Y34" s="3738"/>
      <c r="Z34" s="1353" t="str">
        <f t="shared" si="13"/>
        <v>土地级别</v>
      </c>
      <c r="AA34" s="1350">
        <f t="shared" si="3"/>
        <v>1</v>
      </c>
      <c r="AB34" s="1350">
        <f t="shared" si="4"/>
        <v>1</v>
      </c>
      <c r="AC34" s="1350">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3"/>
      <c r="M35" s="2707"/>
      <c r="N35" s="2707"/>
      <c r="O35" s="2765"/>
      <c r="P35" s="3738"/>
      <c r="Q35" s="1349">
        <f t="shared" si="8"/>
        <v>111</v>
      </c>
      <c r="R35" s="705" t="s">
        <v>14</v>
      </c>
      <c r="S35" s="706">
        <f t="shared" si="10"/>
        <v>100</v>
      </c>
      <c r="T35" s="705" t="s">
        <v>14</v>
      </c>
      <c r="U35" s="706">
        <f t="shared" si="11"/>
        <v>100</v>
      </c>
      <c r="V35" s="705" t="s">
        <v>14</v>
      </c>
      <c r="W35" s="706">
        <f t="shared" si="12"/>
        <v>100</v>
      </c>
      <c r="X35" s="1352"/>
      <c r="Y35" s="3738"/>
      <c r="Z35" s="1353">
        <f t="shared" si="13"/>
        <v>111</v>
      </c>
      <c r="AA35" s="1350">
        <f t="shared" si="3"/>
        <v>1</v>
      </c>
      <c r="AB35" s="1350">
        <f t="shared" si="4"/>
        <v>1</v>
      </c>
      <c r="AC35" s="1350">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3"/>
      <c r="M36" s="2707"/>
      <c r="N36" s="2707"/>
      <c r="O36" s="2765"/>
      <c r="P36" s="3739" t="s">
        <v>1693</v>
      </c>
      <c r="Q36" s="1349">
        <f t="shared" si="8"/>
        <v>111</v>
      </c>
      <c r="R36" s="705" t="s">
        <v>14</v>
      </c>
      <c r="S36" s="706">
        <f t="shared" si="10"/>
        <v>100</v>
      </c>
      <c r="T36" s="705" t="s">
        <v>14</v>
      </c>
      <c r="U36" s="706">
        <f t="shared" si="11"/>
        <v>100</v>
      </c>
      <c r="V36" s="705" t="s">
        <v>14</v>
      </c>
      <c r="W36" s="706">
        <f t="shared" si="12"/>
        <v>100</v>
      </c>
      <c r="X36" s="1352"/>
      <c r="Y36" s="3740" t="s">
        <v>1693</v>
      </c>
      <c r="Z36" s="1353">
        <f t="shared" si="13"/>
        <v>111</v>
      </c>
      <c r="AA36" s="1350">
        <f t="shared" si="3"/>
        <v>1</v>
      </c>
      <c r="AB36" s="1350">
        <f t="shared" si="4"/>
        <v>1</v>
      </c>
      <c r="AC36" s="1350">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2"/>
      <c r="M37" s="2714"/>
      <c r="N37" s="2714"/>
      <c r="O37" s="2766"/>
      <c r="P37" s="3740"/>
      <c r="Q37" s="1349">
        <f t="shared" si="8"/>
        <v>111</v>
      </c>
      <c r="R37" s="708" t="s">
        <v>14</v>
      </c>
      <c r="S37" s="709">
        <f t="shared" si="10"/>
        <v>100</v>
      </c>
      <c r="T37" s="708" t="s">
        <v>14</v>
      </c>
      <c r="U37" s="709">
        <f t="shared" si="11"/>
        <v>100</v>
      </c>
      <c r="V37" s="708" t="s">
        <v>14</v>
      </c>
      <c r="W37" s="709">
        <f t="shared" si="12"/>
        <v>100</v>
      </c>
      <c r="X37" s="710"/>
      <c r="Y37" s="3740"/>
      <c r="Z37" s="711">
        <f t="shared" si="13"/>
        <v>111</v>
      </c>
      <c r="AA37" s="1350">
        <f t="shared" si="3"/>
        <v>1</v>
      </c>
      <c r="AB37" s="1350">
        <f t="shared" si="4"/>
        <v>1</v>
      </c>
      <c r="AC37" s="1350">
        <f t="shared" si="5"/>
        <v>1</v>
      </c>
    </row>
    <row r="38" spans="1:29" ht="15">
      <c r="A38" s="423" t="s">
        <v>1691</v>
      </c>
      <c r="B38" s="407" t="s">
        <v>1871</v>
      </c>
      <c r="C38" s="627">
        <f>'数据-汇总表'!D3</f>
        <v>53629.25</v>
      </c>
      <c r="D38" s="418">
        <v>100</v>
      </c>
      <c r="E38" s="627">
        <f>案例!$I$3</f>
        <v>154004.04</v>
      </c>
      <c r="F38" s="418">
        <f>LOOKUP(E38,116:116,117:117)-LOOKUP(C38,116:116,117:117)+100</f>
        <v>104</v>
      </c>
      <c r="G38" s="627">
        <f>案例!$I$4</f>
        <v>87651.29</v>
      </c>
      <c r="H38" s="418">
        <f>LOOKUP(G38,116:116,117:117)-LOOKUP(C38,116:116,117:117)+100</f>
        <v>100</v>
      </c>
      <c r="I38" s="479">
        <f>案例!$I$8</f>
        <v>35805</v>
      </c>
      <c r="J38" s="418">
        <f>LOOKUP(I38,116:116,117:117)-LOOKUP(C38,116:116,117:117)+100</f>
        <v>98</v>
      </c>
      <c r="K38" s="562"/>
      <c r="L38" s="2713"/>
      <c r="M38" s="2707"/>
      <c r="N38" s="2707"/>
      <c r="O38" s="2765"/>
      <c r="P38" s="3740"/>
      <c r="Q38" s="1349" t="str">
        <f>B38</f>
        <v>宗地面积</v>
      </c>
      <c r="R38" s="705" t="s">
        <v>14</v>
      </c>
      <c r="S38" s="706">
        <f t="shared" si="10"/>
        <v>104</v>
      </c>
      <c r="T38" s="705" t="s">
        <v>14</v>
      </c>
      <c r="U38" s="706">
        <f t="shared" si="11"/>
        <v>100</v>
      </c>
      <c r="V38" s="705" t="s">
        <v>14</v>
      </c>
      <c r="W38" s="706">
        <f t="shared" si="12"/>
        <v>98</v>
      </c>
      <c r="X38" s="1352"/>
      <c r="Y38" s="3740"/>
      <c r="Z38" s="1353" t="str">
        <f t="shared" si="13"/>
        <v>宗地面积</v>
      </c>
      <c r="AA38" s="1350">
        <f t="shared" si="3"/>
        <v>0.96153846153846156</v>
      </c>
      <c r="AB38" s="1350">
        <f t="shared" si="4"/>
        <v>1</v>
      </c>
      <c r="AC38" s="1350">
        <f t="shared" si="5"/>
        <v>1.0204081632653061</v>
      </c>
    </row>
    <row r="39" spans="1:29" ht="15">
      <c r="A39" s="423"/>
      <c r="B39" s="375" t="s">
        <v>1872</v>
      </c>
      <c r="C39" s="1902" t="s">
        <v>3662</v>
      </c>
      <c r="D39" s="386">
        <v>100</v>
      </c>
      <c r="E39" s="1902" t="s">
        <v>3663</v>
      </c>
      <c r="F39" s="386">
        <f>SUMIF(118:118,E39,119:119)-SUMIF(118:118,C39,119:119)+100</f>
        <v>97</v>
      </c>
      <c r="G39" s="1902" t="s">
        <v>3662</v>
      </c>
      <c r="H39" s="386">
        <f>SUMIF(118:118,G39,119:119)-SUMIF(118:118,C39,119:119)+100</f>
        <v>100</v>
      </c>
      <c r="I39" s="1902" t="s">
        <v>3662</v>
      </c>
      <c r="J39" s="386">
        <f>SUMIF(118:118,I39,119:119)-SUMIF(118:118,C39,119:119)+100</f>
        <v>100</v>
      </c>
      <c r="K39" s="561">
        <v>3</v>
      </c>
      <c r="L39" s="2713"/>
      <c r="M39" s="2707"/>
      <c r="N39" s="2707"/>
      <c r="O39" s="2765"/>
      <c r="P39" s="3740"/>
      <c r="Q39" s="1349" t="str">
        <f t="shared" ref="Q39:Q45" si="14">B39</f>
        <v>宗地形状</v>
      </c>
      <c r="R39" s="705" t="s">
        <v>14</v>
      </c>
      <c r="S39" s="706">
        <f t="shared" si="10"/>
        <v>97</v>
      </c>
      <c r="T39" s="705" t="s">
        <v>14</v>
      </c>
      <c r="U39" s="706">
        <f t="shared" si="11"/>
        <v>100</v>
      </c>
      <c r="V39" s="705" t="s">
        <v>14</v>
      </c>
      <c r="W39" s="706">
        <f t="shared" si="12"/>
        <v>100</v>
      </c>
      <c r="X39" s="1352"/>
      <c r="Y39" s="3740"/>
      <c r="Z39" s="1353" t="str">
        <f t="shared" si="13"/>
        <v>宗地形状</v>
      </c>
      <c r="AA39" s="1350">
        <f t="shared" si="3"/>
        <v>1.0309278350515463</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3"/>
      <c r="M40" s="2707"/>
      <c r="N40" s="2707"/>
      <c r="O40" s="2765"/>
      <c r="P40" s="3740"/>
      <c r="Q40" s="1349" t="str">
        <f t="shared" si="14"/>
        <v>临街宽度及深度</v>
      </c>
      <c r="R40" s="705" t="s">
        <v>14</v>
      </c>
      <c r="S40" s="706">
        <f t="shared" si="10"/>
        <v>100</v>
      </c>
      <c r="T40" s="705" t="s">
        <v>14</v>
      </c>
      <c r="U40" s="706">
        <f t="shared" si="11"/>
        <v>100</v>
      </c>
      <c r="V40" s="705" t="s">
        <v>14</v>
      </c>
      <c r="W40" s="706">
        <f t="shared" si="12"/>
        <v>100</v>
      </c>
      <c r="X40" s="1352"/>
      <c r="Y40" s="3740"/>
      <c r="Z40" s="1353" t="str">
        <f t="shared" si="13"/>
        <v>临街宽度及深度</v>
      </c>
      <c r="AA40" s="1350">
        <f t="shared" si="3"/>
        <v>1</v>
      </c>
      <c r="AB40" s="1350">
        <f t="shared" si="4"/>
        <v>1</v>
      </c>
      <c r="AC40" s="1350">
        <f t="shared" si="5"/>
        <v>1</v>
      </c>
    </row>
    <row r="41" spans="1:29" s="108" customFormat="1" ht="15">
      <c r="A41" s="424"/>
      <c r="B41" s="375" t="s">
        <v>1874</v>
      </c>
      <c r="C41" s="1973" t="s">
        <v>3653</v>
      </c>
      <c r="D41" s="127">
        <v>100</v>
      </c>
      <c r="E41" s="1973" t="s">
        <v>3656</v>
      </c>
      <c r="F41" s="386">
        <f>SUMIF(122:122,E41,123:123)-SUMIF(122:122,C41,123:123)+100</f>
        <v>97</v>
      </c>
      <c r="G41" s="1973" t="s">
        <v>3656</v>
      </c>
      <c r="H41" s="386">
        <f>SUMIF(122:122,G41,123:123)-SUMIF(122:122,C41,123:123)+100</f>
        <v>97</v>
      </c>
      <c r="I41" s="1973" t="s">
        <v>3653</v>
      </c>
      <c r="J41" s="386">
        <f>SUMIF(122:122,I41,123:123)-SUMIF(122:122,C41,123:123)+100</f>
        <v>100</v>
      </c>
      <c r="K41" s="561">
        <v>1</v>
      </c>
      <c r="L41" s="2708"/>
      <c r="M41" s="2709"/>
      <c r="N41" s="2709"/>
      <c r="O41" s="2763"/>
      <c r="P41" s="3740"/>
      <c r="Q41" s="1349" t="str">
        <f t="shared" si="14"/>
        <v>宗地开发程度</v>
      </c>
      <c r="R41" s="701" t="s">
        <v>14</v>
      </c>
      <c r="S41" s="702">
        <f t="shared" si="10"/>
        <v>97</v>
      </c>
      <c r="T41" s="701" t="s">
        <v>14</v>
      </c>
      <c r="U41" s="702">
        <f t="shared" si="11"/>
        <v>97</v>
      </c>
      <c r="V41" s="701" t="s">
        <v>14</v>
      </c>
      <c r="W41" s="702">
        <f t="shared" si="12"/>
        <v>100</v>
      </c>
      <c r="X41" s="703"/>
      <c r="Y41" s="3740"/>
      <c r="Z41" s="52" t="str">
        <f t="shared" si="13"/>
        <v>宗地开发程度</v>
      </c>
      <c r="AA41" s="704">
        <f t="shared" si="3"/>
        <v>1.0309278350515463</v>
      </c>
      <c r="AB41" s="704">
        <f t="shared" si="4"/>
        <v>1.0309278350515463</v>
      </c>
      <c r="AC41" s="704">
        <f t="shared" si="5"/>
        <v>1</v>
      </c>
    </row>
    <row r="42" spans="1:29" ht="15">
      <c r="A42" s="423"/>
      <c r="B42" s="375" t="s">
        <v>1875</v>
      </c>
      <c r="C42" s="1902" t="s">
        <v>3452</v>
      </c>
      <c r="D42" s="386">
        <v>100</v>
      </c>
      <c r="E42" s="1902" t="s">
        <v>3452</v>
      </c>
      <c r="F42" s="386">
        <f>SUMIF(124:124,E42,125:125)-SUMIF(124:124,C42,125:125)+100</f>
        <v>100</v>
      </c>
      <c r="G42" s="1902" t="s">
        <v>3452</v>
      </c>
      <c r="H42" s="386">
        <f>SUMIF(124:124,G42,125:125)-SUMIF(124:124,C42,125:125)+100</f>
        <v>100</v>
      </c>
      <c r="I42" s="1902" t="s">
        <v>3452</v>
      </c>
      <c r="J42" s="386">
        <f>SUMIF(124:124,I42,125:125)-SUMIF(124:124,C42,125:125)+100</f>
        <v>100</v>
      </c>
      <c r="K42" s="561">
        <v>2</v>
      </c>
      <c r="L42" s="2713"/>
      <c r="M42" s="2707"/>
      <c r="N42" s="2707"/>
      <c r="O42" s="2765"/>
      <c r="P42" s="3740" t="s">
        <v>1693</v>
      </c>
      <c r="Q42" s="1349" t="str">
        <f t="shared" si="14"/>
        <v>工程地质条件</v>
      </c>
      <c r="R42" s="705" t="s">
        <v>14</v>
      </c>
      <c r="S42" s="706">
        <f t="shared" si="10"/>
        <v>100</v>
      </c>
      <c r="T42" s="705" t="s">
        <v>14</v>
      </c>
      <c r="U42" s="706">
        <f t="shared" si="11"/>
        <v>100</v>
      </c>
      <c r="V42" s="705" t="s">
        <v>14</v>
      </c>
      <c r="W42" s="706">
        <f t="shared" si="12"/>
        <v>100</v>
      </c>
      <c r="X42" s="1352"/>
      <c r="Y42" s="3740" t="s">
        <v>1693</v>
      </c>
      <c r="Z42" s="1353" t="str">
        <f t="shared" si="13"/>
        <v>工程地质条件</v>
      </c>
      <c r="AA42" s="1350">
        <f t="shared" si="3"/>
        <v>1</v>
      </c>
      <c r="AB42" s="1350">
        <f t="shared" si="4"/>
        <v>1</v>
      </c>
      <c r="AC42" s="1350">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3"/>
      <c r="M43" s="2707"/>
      <c r="N43" s="2707"/>
      <c r="O43" s="2765"/>
      <c r="P43" s="3740"/>
      <c r="Q43" s="1349">
        <f t="shared" si="14"/>
        <v>111</v>
      </c>
      <c r="R43" s="705" t="s">
        <v>14</v>
      </c>
      <c r="S43" s="706">
        <f t="shared" si="10"/>
        <v>100</v>
      </c>
      <c r="T43" s="705" t="s">
        <v>14</v>
      </c>
      <c r="U43" s="706">
        <f t="shared" si="11"/>
        <v>100</v>
      </c>
      <c r="V43" s="705" t="s">
        <v>14</v>
      </c>
      <c r="W43" s="706">
        <f t="shared" si="12"/>
        <v>100</v>
      </c>
      <c r="X43" s="1352"/>
      <c r="Y43" s="3740"/>
      <c r="Z43" s="1353">
        <f t="shared" si="13"/>
        <v>111</v>
      </c>
      <c r="AA43" s="1350">
        <f t="shared" si="3"/>
        <v>1</v>
      </c>
      <c r="AB43" s="1350">
        <f t="shared" si="4"/>
        <v>1</v>
      </c>
      <c r="AC43" s="1350">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3"/>
      <c r="M44" s="2707"/>
      <c r="N44" s="2707"/>
      <c r="O44" s="2765"/>
      <c r="P44" s="3740"/>
      <c r="Q44" s="1349">
        <f t="shared" si="14"/>
        <v>111</v>
      </c>
      <c r="R44" s="705" t="s">
        <v>14</v>
      </c>
      <c r="S44" s="706">
        <f t="shared" si="10"/>
        <v>100</v>
      </c>
      <c r="T44" s="705" t="s">
        <v>14</v>
      </c>
      <c r="U44" s="706">
        <f t="shared" si="11"/>
        <v>100</v>
      </c>
      <c r="V44" s="705" t="s">
        <v>14</v>
      </c>
      <c r="W44" s="706">
        <f t="shared" si="12"/>
        <v>100</v>
      </c>
      <c r="X44" s="1352"/>
      <c r="Y44" s="3740"/>
      <c r="Z44" s="1353">
        <f t="shared" si="13"/>
        <v>111</v>
      </c>
      <c r="AA44" s="1350">
        <f t="shared" si="3"/>
        <v>1</v>
      </c>
      <c r="AB44" s="1350">
        <f t="shared" si="4"/>
        <v>1</v>
      </c>
      <c r="AC44" s="1350">
        <f t="shared" si="5"/>
        <v>1</v>
      </c>
    </row>
    <row r="45" spans="1:29" s="422" customFormat="1" ht="15.75" thickBot="1">
      <c r="A45" s="419"/>
      <c r="B45" s="1134">
        <v>111</v>
      </c>
      <c r="C45" s="1974"/>
      <c r="D45" s="628">
        <v>100</v>
      </c>
      <c r="E45" s="622"/>
      <c r="F45" s="389">
        <f>SUMIF(130:130,E45,131:131)-SUMIF(130:130,C45,131:131)+100</f>
        <v>100</v>
      </c>
      <c r="G45" s="622"/>
      <c r="H45" s="389">
        <f>SUMIF(130:130,G45,131:131)-SUMIF(130:130,C45,131:131)+100</f>
        <v>100</v>
      </c>
      <c r="I45" s="622"/>
      <c r="J45" s="389">
        <f>SUMIF(130:130,I45,131:131)-SUMIF(130:130,C45,131:131)+100</f>
        <v>100</v>
      </c>
      <c r="K45" s="629"/>
      <c r="L45" s="2712"/>
      <c r="M45" s="2714"/>
      <c r="N45" s="2714"/>
      <c r="O45" s="2766"/>
      <c r="P45" s="3740"/>
      <c r="Q45" s="1349">
        <f t="shared" si="14"/>
        <v>111</v>
      </c>
      <c r="R45" s="708" t="s">
        <v>14</v>
      </c>
      <c r="S45" s="709">
        <f t="shared" si="10"/>
        <v>100</v>
      </c>
      <c r="T45" s="708" t="s">
        <v>14</v>
      </c>
      <c r="U45" s="709">
        <f t="shared" si="11"/>
        <v>100</v>
      </c>
      <c r="V45" s="708" t="s">
        <v>14</v>
      </c>
      <c r="W45" s="709">
        <f t="shared" si="12"/>
        <v>100</v>
      </c>
      <c r="X45" s="710"/>
      <c r="Y45" s="3740"/>
      <c r="Z45" s="711">
        <f t="shared" si="13"/>
        <v>111</v>
      </c>
      <c r="AA45" s="1350">
        <f t="shared" si="3"/>
        <v>1</v>
      </c>
      <c r="AB45" s="1350">
        <f t="shared" si="4"/>
        <v>1</v>
      </c>
      <c r="AC45" s="1350">
        <f t="shared" si="5"/>
        <v>1</v>
      </c>
    </row>
    <row r="46" spans="1:29" ht="15">
      <c r="A46" s="430" t="s">
        <v>1841</v>
      </c>
      <c r="B46" s="1975" t="s">
        <v>1876</v>
      </c>
      <c r="C46" s="630" t="s">
        <v>0</v>
      </c>
      <c r="D46" s="432"/>
      <c r="E46" s="433">
        <f>案例!$AP$3</f>
        <v>12870</v>
      </c>
      <c r="F46" s="434"/>
      <c r="G46" s="435">
        <f>案例!$AP$4</f>
        <v>18896</v>
      </c>
      <c r="H46" s="436"/>
      <c r="I46" s="433">
        <f>案例!$AP$8</f>
        <v>11875</v>
      </c>
      <c r="J46" s="436"/>
      <c r="K46" s="714"/>
      <c r="L46" s="2715"/>
      <c r="M46" s="2716"/>
      <c r="N46" s="2707"/>
      <c r="O46" s="2716"/>
      <c r="P46" s="3722" t="str">
        <f>A46</f>
        <v>成交单价</v>
      </c>
      <c r="Q46" s="3722"/>
      <c r="R46" s="3735">
        <f>E46</f>
        <v>12870</v>
      </c>
      <c r="S46" s="3735"/>
      <c r="T46" s="3735">
        <f>G46</f>
        <v>18896</v>
      </c>
      <c r="U46" s="3735"/>
      <c r="V46" s="3735">
        <f>I46</f>
        <v>11875</v>
      </c>
      <c r="W46" s="3735"/>
      <c r="X46" s="690"/>
      <c r="Y46" s="712"/>
      <c r="Z46" s="690"/>
      <c r="AA46" s="690"/>
      <c r="AB46" s="690"/>
      <c r="AC46" s="690"/>
    </row>
    <row r="47" spans="1:29" ht="15.75" thickBot="1">
      <c r="A47" s="437" t="s">
        <v>1790</v>
      </c>
      <c r="B47" s="631"/>
      <c r="C47" s="440">
        <f>R48</f>
        <v>14448</v>
      </c>
      <c r="D47" s="2310" t="s">
        <v>2134</v>
      </c>
      <c r="E47" s="440">
        <f>R47</f>
        <v>13454</v>
      </c>
      <c r="F47" s="2311">
        <v>0.3</v>
      </c>
      <c r="G47" s="439">
        <f>T47</f>
        <v>18357</v>
      </c>
      <c r="H47" s="2311">
        <v>0.4</v>
      </c>
      <c r="I47" s="440">
        <f>V47</f>
        <v>11533</v>
      </c>
      <c r="J47" s="2311">
        <v>0.3</v>
      </c>
      <c r="K47" s="2313">
        <f>F47+H47+J47</f>
        <v>1</v>
      </c>
      <c r="L47" s="2715"/>
      <c r="M47" s="2716"/>
      <c r="N47" s="2716"/>
      <c r="O47" s="2716"/>
      <c r="P47" s="3722" t="str">
        <f>A47</f>
        <v>比较价值（元/平方米）</v>
      </c>
      <c r="Q47" s="3722"/>
      <c r="R47" s="3741">
        <f>ROUND(PRODUCT(R46,AA7:AA45),0)</f>
        <v>13454</v>
      </c>
      <c r="S47" s="3741"/>
      <c r="T47" s="3741">
        <f>ROUND(PRODUCT(T46,AB7:AB45),0)</f>
        <v>18357</v>
      </c>
      <c r="U47" s="3741"/>
      <c r="V47" s="3741">
        <f>ROUND(PRODUCT(V46,AC7:AC45),0)</f>
        <v>11533</v>
      </c>
      <c r="W47" s="3741"/>
      <c r="X47" s="690"/>
      <c r="Y47" s="690"/>
      <c r="Z47" s="690"/>
      <c r="AA47" s="690"/>
      <c r="AB47" s="690"/>
      <c r="AC47" s="690"/>
    </row>
    <row r="48" spans="1:29" ht="15.75" thickBot="1">
      <c r="A48" s="441" t="s">
        <v>1877</v>
      </c>
      <c r="B48" s="442"/>
      <c r="C48" s="443">
        <f>R48</f>
        <v>14448</v>
      </c>
      <c r="D48" s="443"/>
      <c r="E48" s="443"/>
      <c r="F48" s="443"/>
      <c r="G48" s="443"/>
      <c r="H48" s="443"/>
      <c r="I48" s="443"/>
      <c r="J48" s="443"/>
      <c r="K48" s="715"/>
      <c r="L48" s="2715"/>
      <c r="M48" s="2716"/>
      <c r="N48" s="2716"/>
      <c r="O48" s="2716"/>
      <c r="P48" s="3742" t="str">
        <f>A48</f>
        <v>估价对象XX用房的比较价值（楼面单价，元/平方米）</v>
      </c>
      <c r="Q48" s="3743"/>
      <c r="R48" s="3744">
        <f>ROUND(IF(D47="简单平均",AVERAGE(R47:W47),R47*F47+T47*H47+V47*J47),0)</f>
        <v>14448</v>
      </c>
      <c r="S48" s="3744"/>
      <c r="T48" s="3744"/>
      <c r="U48" s="3744"/>
      <c r="V48" s="3744"/>
      <c r="W48" s="3744"/>
      <c r="X48" s="690"/>
      <c r="Y48" s="690"/>
      <c r="Z48" s="690"/>
      <c r="AA48" s="690"/>
      <c r="AB48" s="690"/>
      <c r="AC48" s="690"/>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6" t="s">
        <v>1792</v>
      </c>
      <c r="D51" s="447"/>
      <c r="E51" s="448">
        <f>IF(E46&lt;E47,E47/E46-1,E46/E47-1)</f>
        <v>4.5376845376845276E-2</v>
      </c>
      <c r="F51" s="449" t="str">
        <f>IF(OR(E51&gt;=0.3,E51&lt;=-0.3),"超过30%","")</f>
        <v/>
      </c>
      <c r="G51" s="448">
        <f>IF(G46&lt;G47,G47/G46-1,G46/G47-1)</f>
        <v>2.9362096203083388E-2</v>
      </c>
      <c r="H51" s="449" t="str">
        <f>IF(OR(G51&gt;=0.3,G51&lt;=-0.3),"超过30%","")</f>
        <v/>
      </c>
      <c r="I51" s="448">
        <f>IF(I46&lt;I47,I47/I46-1,I46/I47-1)</f>
        <v>2.9654036243822013E-2</v>
      </c>
      <c r="J51" s="449"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6" t="s">
        <v>1793</v>
      </c>
      <c r="D52" s="450"/>
      <c r="E52" s="448">
        <f>IF(E47&lt;G47,G47/E47-1,E47/G47-1)</f>
        <v>0.36442693622714439</v>
      </c>
      <c r="F52" s="449" t="str">
        <f>IF(OR(E52&gt;=0.2,E52&lt;=-0.2),"超过20%","")</f>
        <v>超过20%</v>
      </c>
      <c r="G52" s="448">
        <f>IF(G47&lt;I47,I47/G47-1,G47/I47-1)</f>
        <v>0.59169340154339722</v>
      </c>
      <c r="H52" s="449" t="str">
        <f>IF(OR(G52&gt;=0.2,G52&lt;=-0.2),"超过20%","")</f>
        <v>超过20%</v>
      </c>
      <c r="I52" s="448">
        <f>IF(I47&lt;E47,E47/I47-1,I47/E47-1)</f>
        <v>0.1665655076736321</v>
      </c>
      <c r="J52" s="449" t="str">
        <f>IF(OR(I52&gt;=0.2,I52&lt;=-0.2),"超过20%","")</f>
        <v/>
      </c>
      <c r="K52" s="2721"/>
      <c r="L52" s="2717"/>
      <c r="M52" s="2716"/>
      <c r="N52" s="2716"/>
      <c r="O52" s="2716"/>
      <c r="P52" s="2716"/>
      <c r="Q52" s="2716"/>
      <c r="R52" s="2716"/>
      <c r="S52" s="2716"/>
      <c r="T52" s="2716"/>
      <c r="U52" s="2716"/>
      <c r="V52" s="2716"/>
      <c r="W52" s="2716"/>
      <c r="X52" s="2716"/>
      <c r="Y52" s="2716"/>
      <c r="Z52" s="2716"/>
      <c r="AA52" s="2716"/>
      <c r="AB52" s="2716"/>
      <c r="AC52" s="2716"/>
    </row>
    <row r="53" spans="1:29" s="451" customFormat="1" ht="13.5" customHeight="1">
      <c r="A53" s="2719"/>
      <c r="B53" s="2719"/>
      <c r="C53" s="446" t="s">
        <v>1794</v>
      </c>
      <c r="D53" s="450"/>
      <c r="E53" s="448">
        <f>IF(E46&lt;G46,G46/E46-1,E46/G46-1)</f>
        <v>0.46822066822066821</v>
      </c>
      <c r="F53" s="449" t="str">
        <f>IF(OR(E53&gt;=0.3,E53&lt;=-0.3),"超过30%","")</f>
        <v>超过30%</v>
      </c>
      <c r="G53" s="448">
        <f>IF(G46&lt;I46,I46/G46-1,G46/I46-1)</f>
        <v>0.59124210526315779</v>
      </c>
      <c r="H53" s="449" t="str">
        <f>IF(OR(G53&gt;=0.3,G53&lt;=-0.3),"超过30%","")</f>
        <v>超过30%</v>
      </c>
      <c r="I53" s="448">
        <f>IF(I46&lt;E46,E46/I46-1,I46/E46-1)</f>
        <v>8.3789473684210636E-2</v>
      </c>
      <c r="J53" s="449"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51" customFormat="1" ht="15" thickBot="1">
      <c r="A54" s="2719"/>
      <c r="B54" s="2722"/>
      <c r="C54" s="693"/>
      <c r="D54" s="691"/>
      <c r="E54" s="691"/>
      <c r="F54" s="691"/>
      <c r="G54" s="691"/>
      <c r="H54" s="691"/>
      <c r="I54" s="691"/>
      <c r="J54" s="691"/>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2" t="s">
        <v>1878</v>
      </c>
      <c r="B55" s="633" t="s">
        <v>1879</v>
      </c>
      <c r="C55" s="1976" t="s">
        <v>1880</v>
      </c>
      <c r="D55" s="1977" t="s">
        <v>1881</v>
      </c>
      <c r="E55" s="634" t="s">
        <v>1882</v>
      </c>
      <c r="F55" s="890" t="s">
        <v>1883</v>
      </c>
      <c r="G55" s="3723" t="s">
        <v>1884</v>
      </c>
      <c r="H55" s="3745"/>
      <c r="I55" s="135" t="s">
        <v>1885</v>
      </c>
      <c r="J55" s="1978">
        <f>项目基本情况!F35</f>
        <v>0</v>
      </c>
      <c r="K55" s="1979" t="s">
        <v>1886</v>
      </c>
      <c r="L55" s="2717"/>
      <c r="M55" s="2716"/>
      <c r="N55" s="2716"/>
      <c r="O55" s="2716"/>
      <c r="P55" s="2716"/>
      <c r="Q55" s="2716"/>
      <c r="R55" s="2716"/>
      <c r="S55" s="2716"/>
      <c r="T55" s="2716"/>
      <c r="U55" s="2716"/>
      <c r="V55" s="2716"/>
      <c r="W55" s="2716"/>
      <c r="X55" s="2716"/>
      <c r="Y55" s="2716"/>
      <c r="Z55" s="2716"/>
      <c r="AA55" s="2716"/>
      <c r="AB55" s="2716"/>
      <c r="AC55" s="2716"/>
    </row>
    <row r="56" spans="1:29" s="640" customFormat="1">
      <c r="A56" s="636" t="s">
        <v>1887</v>
      </c>
      <c r="B56" s="637">
        <f>C48</f>
        <v>14448</v>
      </c>
      <c r="C56" s="638">
        <v>1</v>
      </c>
      <c r="D56" s="944">
        <v>1</v>
      </c>
      <c r="E56" s="638">
        <f>'数据-汇总表'!E8+'数据-汇总表'!E9</f>
        <v>107119.92</v>
      </c>
      <c r="F56" s="886">
        <f t="shared" ref="F56:F64" si="15">ROUND(B56*E56/10000,0)</f>
        <v>154767</v>
      </c>
      <c r="G56" s="3746"/>
      <c r="H56" s="3722"/>
      <c r="I56" s="891">
        <v>1</v>
      </c>
      <c r="J56" s="894">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40" customFormat="1">
      <c r="A57" s="641" t="s">
        <v>1888</v>
      </c>
      <c r="B57" s="218">
        <f>ROUND($C$48*C57*D57,0)</f>
        <v>1806</v>
      </c>
      <c r="C57" s="171">
        <f t="shared" ref="C57:C64" si="16">IF($C$55="北京市系数",I57,J57)</f>
        <v>0.5</v>
      </c>
      <c r="D57" s="945">
        <v>0.25</v>
      </c>
      <c r="E57" s="642"/>
      <c r="F57" s="886">
        <f t="shared" si="15"/>
        <v>0</v>
      </c>
      <c r="G57" s="2997" t="s">
        <v>1889</v>
      </c>
      <c r="H57" s="887" t="str">
        <f>项目基本情况!B37</f>
        <v>九级</v>
      </c>
      <c r="I57" s="891">
        <f>SUMIF(修正!A57:A68,H57,修正!B57:B68)</f>
        <v>0.5</v>
      </c>
      <c r="J57" s="895"/>
      <c r="K57" s="2716"/>
      <c r="L57" s="2773"/>
      <c r="M57" s="2773"/>
      <c r="N57" s="2773"/>
      <c r="O57" s="2773"/>
      <c r="P57" s="2773"/>
      <c r="Q57" s="2773"/>
      <c r="R57" s="2773"/>
      <c r="S57" s="2773"/>
      <c r="T57" s="2773"/>
      <c r="U57" s="2773"/>
      <c r="V57" s="2773"/>
      <c r="W57" s="2773"/>
      <c r="X57" s="2773"/>
      <c r="Y57" s="2773"/>
      <c r="Z57" s="2773"/>
      <c r="AA57" s="2773"/>
      <c r="AB57" s="2773"/>
      <c r="AC57" s="2773"/>
    </row>
    <row r="58" spans="1:29" s="640" customFormat="1">
      <c r="A58" s="641" t="s">
        <v>1890</v>
      </c>
      <c r="B58" s="218">
        <f t="shared" ref="B58:B64" si="17">ROUND($C$48*C58*D58,0)</f>
        <v>722</v>
      </c>
      <c r="C58" s="171">
        <f t="shared" si="16"/>
        <v>0.2</v>
      </c>
      <c r="D58" s="945">
        <v>0.25</v>
      </c>
      <c r="E58" s="642"/>
      <c r="F58" s="886">
        <f t="shared" si="15"/>
        <v>0</v>
      </c>
      <c r="G58" s="2998"/>
      <c r="H58" s="887" t="str">
        <f>项目基本情况!B37</f>
        <v>九级</v>
      </c>
      <c r="I58" s="891">
        <f>SUMIF(修正!A57:A68,H58,修正!C57:C68)</f>
        <v>0.2</v>
      </c>
      <c r="J58" s="895"/>
      <c r="K58" s="2719"/>
      <c r="L58" s="2773"/>
      <c r="M58" s="2773"/>
      <c r="N58" s="2773"/>
      <c r="O58" s="2773"/>
      <c r="P58" s="2773"/>
      <c r="Q58" s="2773"/>
      <c r="R58" s="2773"/>
      <c r="S58" s="2773"/>
      <c r="T58" s="2773"/>
      <c r="U58" s="2773"/>
      <c r="V58" s="2773"/>
      <c r="W58" s="2773"/>
      <c r="X58" s="2773"/>
      <c r="Y58" s="2773"/>
      <c r="Z58" s="2773"/>
      <c r="AA58" s="2773"/>
      <c r="AB58" s="2773"/>
      <c r="AC58" s="2773"/>
    </row>
    <row r="59" spans="1:29" s="640" customFormat="1">
      <c r="A59" s="641" t="s">
        <v>1891</v>
      </c>
      <c r="B59" s="218">
        <f t="shared" si="17"/>
        <v>722</v>
      </c>
      <c r="C59" s="171">
        <f t="shared" si="16"/>
        <v>0.2</v>
      </c>
      <c r="D59" s="945">
        <v>0.25</v>
      </c>
      <c r="E59" s="642"/>
      <c r="F59" s="886">
        <f t="shared" si="15"/>
        <v>0</v>
      </c>
      <c r="G59" s="2998"/>
      <c r="H59" s="887" t="str">
        <f>项目基本情况!B37</f>
        <v>九级</v>
      </c>
      <c r="I59" s="891">
        <f>SUMIF(修正!A57:A68,H59,修正!D57:D68)</f>
        <v>0.2</v>
      </c>
      <c r="J59" s="895"/>
      <c r="K59" s="2716"/>
      <c r="L59" s="2773"/>
      <c r="M59" s="2773"/>
      <c r="N59" s="2773"/>
      <c r="O59" s="2773"/>
      <c r="P59" s="2773"/>
      <c r="Q59" s="2773"/>
      <c r="R59" s="2773"/>
      <c r="S59" s="2773"/>
      <c r="T59" s="2773"/>
      <c r="U59" s="2773"/>
      <c r="V59" s="2773"/>
      <c r="W59" s="2773"/>
      <c r="X59" s="2773"/>
      <c r="Y59" s="2773"/>
      <c r="Z59" s="2773"/>
      <c r="AA59" s="2773"/>
      <c r="AB59" s="2773"/>
      <c r="AC59" s="2773"/>
    </row>
    <row r="60" spans="1:29" s="640" customFormat="1">
      <c r="A60" s="641" t="s">
        <v>1892</v>
      </c>
      <c r="B60" s="218">
        <f t="shared" si="17"/>
        <v>722</v>
      </c>
      <c r="C60" s="171">
        <f t="shared" si="16"/>
        <v>0.2</v>
      </c>
      <c r="D60" s="945">
        <v>0.25</v>
      </c>
      <c r="E60" s="217">
        <f>'数据-汇总表'!E11</f>
        <v>171.03</v>
      </c>
      <c r="F60" s="886">
        <f t="shared" si="15"/>
        <v>12</v>
      </c>
      <c r="G60" s="1980" t="s">
        <v>1893</v>
      </c>
      <c r="H60" s="887" t="str">
        <f>项目基本情况!C37</f>
        <v>九级</v>
      </c>
      <c r="I60" s="891">
        <f>SUMIF(修正!A57:A68,H60,修正!E57:E68)</f>
        <v>0.2</v>
      </c>
      <c r="J60" s="895"/>
      <c r="K60" s="2716"/>
      <c r="L60" s="2773"/>
      <c r="M60" s="2773"/>
      <c r="N60" s="2773"/>
      <c r="O60" s="2773"/>
      <c r="P60" s="2773"/>
      <c r="Q60" s="2773"/>
      <c r="R60" s="2773"/>
      <c r="S60" s="2773"/>
      <c r="T60" s="2773"/>
      <c r="U60" s="2773"/>
      <c r="V60" s="2773"/>
      <c r="W60" s="2773"/>
      <c r="X60" s="2773"/>
      <c r="Y60" s="2773"/>
      <c r="Z60" s="2773"/>
      <c r="AA60" s="2773"/>
      <c r="AB60" s="2773"/>
      <c r="AC60" s="2773"/>
    </row>
    <row r="61" spans="1:29" s="640" customFormat="1">
      <c r="A61" s="641" t="s">
        <v>1894</v>
      </c>
      <c r="B61" s="218">
        <f t="shared" si="17"/>
        <v>722</v>
      </c>
      <c r="C61" s="171">
        <f t="shared" si="16"/>
        <v>0.2</v>
      </c>
      <c r="D61" s="945">
        <v>0.25</v>
      </c>
      <c r="E61" s="217">
        <f>'数据-汇总表'!E12</f>
        <v>8639.4699999999993</v>
      </c>
      <c r="F61" s="886">
        <f t="shared" si="15"/>
        <v>624</v>
      </c>
      <c r="G61" s="892" t="s">
        <v>1895</v>
      </c>
      <c r="H61" s="887" t="str">
        <f>IF(G61="商业",项目基本情况!B37,IF(G61="办公",项目基本情况!C37,IF(G61="住宅",项目基本情况!D37,项目基本情况!E37)))</f>
        <v>九级</v>
      </c>
      <c r="I61" s="891">
        <f>SUMIF(修正!A57:A68,H61,修正!F57:F68)</f>
        <v>0.2</v>
      </c>
      <c r="J61" s="895"/>
      <c r="K61" s="2719"/>
      <c r="L61" s="2773"/>
      <c r="M61" s="2773"/>
      <c r="N61" s="2773"/>
      <c r="O61" s="2773"/>
      <c r="P61" s="2773"/>
      <c r="Q61" s="2773"/>
      <c r="R61" s="2773"/>
      <c r="S61" s="2773"/>
      <c r="T61" s="2773"/>
      <c r="U61" s="2773"/>
      <c r="V61" s="2773"/>
      <c r="W61" s="2773"/>
      <c r="X61" s="2773"/>
      <c r="Y61" s="2773"/>
      <c r="Z61" s="2773"/>
      <c r="AA61" s="2773"/>
      <c r="AB61" s="2773"/>
      <c r="AC61" s="2773"/>
    </row>
    <row r="62" spans="1:29" s="640" customFormat="1">
      <c r="A62" s="641" t="s">
        <v>1896</v>
      </c>
      <c r="B62" s="218">
        <f t="shared" si="17"/>
        <v>361</v>
      </c>
      <c r="C62" s="171">
        <f t="shared" si="16"/>
        <v>0.1</v>
      </c>
      <c r="D62" s="945">
        <v>0.25</v>
      </c>
      <c r="E62" s="217">
        <f>'数据-汇总表'!E13</f>
        <v>33430.07</v>
      </c>
      <c r="F62" s="886">
        <f t="shared" si="15"/>
        <v>1207</v>
      </c>
      <c r="G62" s="892" t="s">
        <v>1897</v>
      </c>
      <c r="H62" s="887" t="str">
        <f>IF(G62="商业",项目基本情况!B37,IF(G62="办公",项目基本情况!C37,IF(G62="住宅",项目基本情况!D37,项目基本情况!E37)))</f>
        <v>九级</v>
      </c>
      <c r="I62" s="891">
        <f>SUMIF(修正!A57:A68,H62,修正!G57:G68)</f>
        <v>0.1</v>
      </c>
      <c r="J62" s="895"/>
      <c r="K62" s="2716"/>
      <c r="L62" s="2773"/>
      <c r="M62" s="2773"/>
      <c r="N62" s="2773"/>
      <c r="O62" s="2773"/>
      <c r="P62" s="2773"/>
      <c r="Q62" s="2773"/>
      <c r="R62" s="2773"/>
      <c r="S62" s="2773"/>
      <c r="T62" s="2773"/>
      <c r="U62" s="2773"/>
      <c r="V62" s="2773"/>
      <c r="W62" s="2773"/>
      <c r="X62" s="2773"/>
      <c r="Y62" s="2773"/>
      <c r="Z62" s="2773"/>
      <c r="AA62" s="2773"/>
      <c r="AB62" s="2773"/>
      <c r="AC62" s="2773"/>
    </row>
    <row r="63" spans="1:29" s="640" customFormat="1">
      <c r="A63" s="641" t="s">
        <v>1898</v>
      </c>
      <c r="B63" s="218">
        <f t="shared" si="17"/>
        <v>361</v>
      </c>
      <c r="C63" s="171">
        <f t="shared" si="16"/>
        <v>0.1</v>
      </c>
      <c r="D63" s="945">
        <v>0.25</v>
      </c>
      <c r="E63" s="217">
        <f>'数据-汇总表'!E14</f>
        <v>0</v>
      </c>
      <c r="F63" s="886">
        <f t="shared" si="15"/>
        <v>0</v>
      </c>
      <c r="G63" s="1980" t="s">
        <v>1889</v>
      </c>
      <c r="H63" s="887" t="str">
        <f>项目基本情况!B37</f>
        <v>九级</v>
      </c>
      <c r="I63" s="891">
        <f>SUMIF(修正!A57:A68,H63,修正!G57:G68)</f>
        <v>0.1</v>
      </c>
      <c r="J63" s="895"/>
      <c r="K63" s="2719"/>
      <c r="L63" s="2773"/>
      <c r="M63" s="2773"/>
      <c r="N63" s="2773"/>
      <c r="O63" s="2773"/>
      <c r="P63" s="2773"/>
      <c r="Q63" s="2773"/>
      <c r="R63" s="2773"/>
      <c r="S63" s="2773"/>
      <c r="T63" s="2773"/>
      <c r="U63" s="2773"/>
      <c r="V63" s="2773"/>
      <c r="W63" s="2773"/>
      <c r="X63" s="2773"/>
      <c r="Y63" s="2773"/>
      <c r="Z63" s="2773"/>
      <c r="AA63" s="2773"/>
      <c r="AB63" s="2773"/>
      <c r="AC63" s="2773"/>
    </row>
    <row r="64" spans="1:29" s="640" customFormat="1" ht="15" thickBot="1">
      <c r="A64" s="641" t="s">
        <v>1899</v>
      </c>
      <c r="B64" s="218">
        <f t="shared" si="17"/>
        <v>361</v>
      </c>
      <c r="C64" s="171">
        <f t="shared" si="16"/>
        <v>0.1</v>
      </c>
      <c r="D64" s="945">
        <v>0.25</v>
      </c>
      <c r="E64" s="217">
        <f>'数据-汇总表'!E15</f>
        <v>0</v>
      </c>
      <c r="F64" s="886">
        <f t="shared" si="15"/>
        <v>0</v>
      </c>
      <c r="G64" s="1981" t="s">
        <v>1893</v>
      </c>
      <c r="H64" s="897" t="str">
        <f>项目基本情况!C37</f>
        <v>九级</v>
      </c>
      <c r="I64" s="893">
        <f>SUMIF(修正!A57:A68,H64,修正!G57:G68)</f>
        <v>0.1</v>
      </c>
      <c r="J64" s="896"/>
      <c r="K64" s="2716"/>
      <c r="L64" s="2773"/>
      <c r="M64" s="2773"/>
      <c r="N64" s="2773"/>
      <c r="O64" s="2773"/>
      <c r="P64" s="2773"/>
      <c r="Q64" s="2773"/>
      <c r="R64" s="2773"/>
      <c r="S64" s="2773"/>
      <c r="T64" s="2773"/>
      <c r="U64" s="2773"/>
      <c r="V64" s="2773"/>
      <c r="W64" s="2773"/>
      <c r="X64" s="2773"/>
      <c r="Y64" s="2773"/>
      <c r="Z64" s="2773"/>
      <c r="AA64" s="2773"/>
      <c r="AB64" s="2773"/>
      <c r="AC64" s="2773"/>
    </row>
    <row r="65" spans="1:29" s="640" customFormat="1" ht="13.5" thickBot="1">
      <c r="A65" s="643" t="s">
        <v>1900</v>
      </c>
      <c r="B65" s="644" t="s">
        <v>22</v>
      </c>
      <c r="C65" s="644" t="s">
        <v>23</v>
      </c>
      <c r="D65" s="644" t="s">
        <v>392</v>
      </c>
      <c r="E65" s="644">
        <f>IF(B46="楼面地价",SUM(E56:E64),'数据-汇总表'!D3)</f>
        <v>149360.49</v>
      </c>
      <c r="F65" s="645">
        <f>IF(B46="楼面地价",SUM(F56:F64),ROUND(C48*E65/10000,0))</f>
        <v>156610</v>
      </c>
      <c r="G65" s="717"/>
      <c r="H65" s="717"/>
      <c r="I65" s="717"/>
      <c r="J65" s="717"/>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90"/>
      <c r="B66" s="692"/>
      <c r="C66" s="693"/>
      <c r="D66" s="690"/>
      <c r="E66" s="690"/>
      <c r="F66" s="690"/>
      <c r="G66" s="690"/>
      <c r="H66" s="690"/>
      <c r="I66" s="690"/>
      <c r="J66" s="927"/>
      <c r="K66" s="888"/>
      <c r="L66" s="889"/>
      <c r="M66" s="927"/>
      <c r="N66" s="927"/>
      <c r="O66" s="927"/>
      <c r="P66" s="2716"/>
      <c r="Q66" s="2716"/>
      <c r="R66" s="2716"/>
      <c r="S66" s="2716"/>
      <c r="T66" s="2716"/>
      <c r="U66" s="2716"/>
      <c r="V66" s="2716"/>
      <c r="W66" s="2716"/>
      <c r="X66" s="2716"/>
      <c r="Y66" s="2716"/>
      <c r="Z66" s="2716"/>
      <c r="AA66" s="2716"/>
      <c r="AB66" s="2716"/>
      <c r="AC66" s="2716"/>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929">
        <f t="shared" ref="P67" si="19">EDATE(O67,-3)</f>
        <v>43922</v>
      </c>
      <c r="Q67" s="929">
        <f t="shared" ref="Q67" si="20">EDATE(P67,-3)</f>
        <v>43831</v>
      </c>
      <c r="R67" s="929">
        <f t="shared" ref="R67" si="21">EDATE(Q67,-3)</f>
        <v>43739</v>
      </c>
      <c r="S67" s="929">
        <f t="shared" ref="S67" si="22">EDATE(R67,-3)</f>
        <v>43647</v>
      </c>
      <c r="T67" s="929">
        <f t="shared" ref="T67" si="23">EDATE(S67,-3)</f>
        <v>43556</v>
      </c>
      <c r="U67" s="929">
        <f t="shared" ref="U67" si="24">EDATE(T67,-3)</f>
        <v>43466</v>
      </c>
      <c r="V67" s="2716"/>
      <c r="W67" s="2716"/>
      <c r="X67" s="2716"/>
      <c r="Y67" s="2716"/>
      <c r="Z67" s="2716"/>
      <c r="AA67" s="2716"/>
      <c r="AB67" s="2716"/>
      <c r="AC67" s="2716"/>
    </row>
    <row r="68" spans="1:29" ht="21.75" thickBot="1">
      <c r="A68" s="694" t="s">
        <v>1795</v>
      </c>
      <c r="B68" s="690"/>
      <c r="C68" s="695"/>
      <c r="D68" s="695"/>
      <c r="E68" s="695"/>
      <c r="F68" s="696"/>
      <c r="G68" s="696"/>
      <c r="H68" s="695"/>
      <c r="I68" s="695"/>
      <c r="J68" s="940"/>
      <c r="K68" s="941"/>
      <c r="L68" s="942"/>
      <c r="M68" s="940"/>
      <c r="N68" s="2760"/>
      <c r="O68" s="2760"/>
      <c r="P68" s="2760"/>
      <c r="Q68" s="2730"/>
      <c r="R68" s="2716"/>
      <c r="S68" s="2716"/>
      <c r="T68" s="2716"/>
      <c r="U68" s="2716"/>
      <c r="V68" s="2716"/>
      <c r="W68" s="2716"/>
      <c r="X68" s="2716"/>
      <c r="Y68" s="2716"/>
      <c r="Z68" s="2716"/>
      <c r="AA68" s="2716"/>
      <c r="AB68" s="2716"/>
      <c r="AC68" s="2716"/>
    </row>
    <row r="69" spans="1:29" s="457" customFormat="1" ht="28.5">
      <c r="A69" s="1982" t="s">
        <v>1901</v>
      </c>
      <c r="B69" s="1109"/>
      <c r="C69" s="1179" t="str">
        <f>YEAR(C67)&amp;"-"&amp;ROUNDUP(MONTH(C67)/3,0)</f>
        <v>2023-3</v>
      </c>
      <c r="D69" s="1179" t="str">
        <f>YEAR(D67)&amp;"-"&amp;ROUNDUP(MONTH(D67)/3,0)</f>
        <v>2023-2</v>
      </c>
      <c r="E69" s="1179" t="str">
        <f t="shared" ref="E69:O69" si="25">YEAR(E67)&amp;"-"&amp;ROUNDUP(MONTH(E67)/3,0)</f>
        <v>2023-1</v>
      </c>
      <c r="F69" s="1179" t="str">
        <f t="shared" si="25"/>
        <v>2022-4</v>
      </c>
      <c r="G69" s="1179" t="str">
        <f t="shared" si="25"/>
        <v>2022-3</v>
      </c>
      <c r="H69" s="1179" t="str">
        <f t="shared" si="25"/>
        <v>2022-2</v>
      </c>
      <c r="I69" s="1179" t="str">
        <f t="shared" si="25"/>
        <v>2022-1</v>
      </c>
      <c r="J69" s="1179" t="str">
        <f t="shared" si="25"/>
        <v>2021-4</v>
      </c>
      <c r="K69" s="1179" t="str">
        <f t="shared" si="25"/>
        <v>2021-3</v>
      </c>
      <c r="L69" s="1179" t="str">
        <f t="shared" si="25"/>
        <v>2021-2</v>
      </c>
      <c r="M69" s="1179" t="str">
        <f t="shared" si="25"/>
        <v>2021-1</v>
      </c>
      <c r="N69" s="1179" t="str">
        <f t="shared" si="25"/>
        <v>2020-4</v>
      </c>
      <c r="O69" s="1179" t="str">
        <f t="shared" si="25"/>
        <v>2020-3</v>
      </c>
      <c r="P69" s="3498" t="str">
        <f t="shared" ref="P69:U69" si="26">YEAR(P67)&amp;"-"&amp;ROUNDUP(MONTH(P67)/3,0)</f>
        <v>2020-2</v>
      </c>
      <c r="Q69" s="3498" t="str">
        <f t="shared" si="26"/>
        <v>2020-1</v>
      </c>
      <c r="R69" s="3498" t="str">
        <f t="shared" si="26"/>
        <v>2019-4</v>
      </c>
      <c r="S69" s="3498" t="str">
        <f t="shared" si="26"/>
        <v>2019-3</v>
      </c>
      <c r="T69" s="3498" t="str">
        <f t="shared" si="26"/>
        <v>2019-2</v>
      </c>
      <c r="U69" s="3498" t="str">
        <f t="shared" si="26"/>
        <v>2019-1</v>
      </c>
      <c r="V69" s="2732"/>
      <c r="W69" s="2732"/>
      <c r="X69" s="2732"/>
      <c r="Y69" s="2732"/>
      <c r="Z69" s="2732"/>
      <c r="AA69" s="2732"/>
      <c r="AB69" s="2732"/>
      <c r="AC69" s="2732"/>
    </row>
    <row r="70" spans="1:29" s="108" customFormat="1" ht="30" customHeight="1">
      <c r="A70" s="1983" t="s">
        <v>1902</v>
      </c>
      <c r="B70" s="288" t="str">
        <f>"北京市平均增长率"&amp;TEXT(SUMIF(基准地价修正!N25:N29,A70,基准地价修正!P25:P29),"0.00%")</f>
        <v>北京市平均增长率0.00%</v>
      </c>
      <c r="C70" s="552">
        <v>100</v>
      </c>
      <c r="D70" s="544">
        <f>C70-0.5</f>
        <v>99.5</v>
      </c>
      <c r="E70" s="544">
        <f t="shared" ref="E70:U70" si="27">D70-0.5</f>
        <v>99</v>
      </c>
      <c r="F70" s="544">
        <f t="shared" si="27"/>
        <v>98.5</v>
      </c>
      <c r="G70" s="544">
        <f t="shared" si="27"/>
        <v>98</v>
      </c>
      <c r="H70" s="544">
        <f t="shared" si="27"/>
        <v>97.5</v>
      </c>
      <c r="I70" s="544">
        <f t="shared" si="27"/>
        <v>97</v>
      </c>
      <c r="J70" s="544">
        <f t="shared" si="27"/>
        <v>96.5</v>
      </c>
      <c r="K70" s="544">
        <f t="shared" si="27"/>
        <v>96</v>
      </c>
      <c r="L70" s="544">
        <f t="shared" si="27"/>
        <v>95.5</v>
      </c>
      <c r="M70" s="544">
        <f t="shared" si="27"/>
        <v>95</v>
      </c>
      <c r="N70" s="544">
        <f t="shared" si="27"/>
        <v>94.5</v>
      </c>
      <c r="O70" s="544">
        <f t="shared" si="27"/>
        <v>94</v>
      </c>
      <c r="P70" s="544">
        <f t="shared" si="27"/>
        <v>93.5</v>
      </c>
      <c r="Q70" s="544">
        <f t="shared" si="27"/>
        <v>93</v>
      </c>
      <c r="R70" s="544">
        <f t="shared" si="27"/>
        <v>92.5</v>
      </c>
      <c r="S70" s="544">
        <f t="shared" si="27"/>
        <v>92</v>
      </c>
      <c r="T70" s="544">
        <f t="shared" si="27"/>
        <v>91.5</v>
      </c>
      <c r="U70" s="544">
        <f t="shared" si="27"/>
        <v>91</v>
      </c>
      <c r="V70" s="2652"/>
      <c r="W70" s="2652"/>
      <c r="X70" s="2652"/>
      <c r="Y70" s="2652"/>
      <c r="Z70" s="2652"/>
      <c r="AA70" s="2652"/>
      <c r="AB70" s="2652"/>
      <c r="AC70" s="2652"/>
    </row>
    <row r="71" spans="1:29" s="108" customFormat="1" ht="15.75" thickBot="1">
      <c r="A71" s="464" t="s">
        <v>1713</v>
      </c>
      <c r="B71" s="465"/>
      <c r="C71" s="466"/>
      <c r="D71" s="467"/>
      <c r="E71" s="467"/>
      <c r="F71" s="467"/>
      <c r="G71" s="467"/>
      <c r="H71" s="467"/>
      <c r="I71" s="467"/>
      <c r="J71" s="467"/>
      <c r="K71" s="467"/>
      <c r="L71" s="467"/>
      <c r="M71" s="468"/>
      <c r="N71" s="467"/>
      <c r="O71" s="943"/>
      <c r="P71" s="943"/>
      <c r="Q71" s="943"/>
      <c r="R71" s="943"/>
      <c r="S71" s="943"/>
      <c r="T71" s="943"/>
      <c r="U71" s="943"/>
      <c r="V71" s="2652"/>
      <c r="W71" s="2652"/>
      <c r="X71" s="2652"/>
      <c r="Y71" s="2652"/>
      <c r="Z71" s="2652"/>
      <c r="AA71" s="2652"/>
      <c r="AB71" s="2652"/>
      <c r="AC71" s="2652"/>
    </row>
    <row r="72" spans="1:29" s="108" customFormat="1" ht="15">
      <c r="A72" s="470" t="s">
        <v>1678</v>
      </c>
      <c r="B72" s="459"/>
      <c r="C72" s="471" t="s">
        <v>1773</v>
      </c>
      <c r="D72" s="472"/>
      <c r="E72" s="472"/>
      <c r="F72" s="472"/>
      <c r="G72" s="472"/>
      <c r="H72" s="472"/>
      <c r="I72" s="472"/>
      <c r="J72" s="472"/>
      <c r="K72" s="472"/>
      <c r="L72" s="473"/>
      <c r="M72" s="474"/>
      <c r="N72" s="2743"/>
      <c r="O72" s="2743"/>
      <c r="P72" s="2768"/>
      <c r="Q72" s="2730"/>
      <c r="R72" s="2652"/>
      <c r="S72" s="2652"/>
      <c r="T72" s="2652"/>
      <c r="U72" s="2652"/>
      <c r="V72" s="2652"/>
      <c r="W72" s="2652"/>
      <c r="X72" s="2652"/>
      <c r="Y72" s="2652"/>
      <c r="Z72" s="2652"/>
      <c r="AA72" s="2652"/>
      <c r="AB72" s="2652"/>
      <c r="AC72" s="2652"/>
    </row>
    <row r="73" spans="1:29" s="108" customFormat="1" ht="15.75" thickBot="1">
      <c r="A73" s="470"/>
      <c r="B73" s="459"/>
      <c r="C73" s="587">
        <v>100</v>
      </c>
      <c r="D73" s="461"/>
      <c r="E73" s="461"/>
      <c r="F73" s="461"/>
      <c r="G73" s="461"/>
      <c r="H73" s="461"/>
      <c r="I73" s="461"/>
      <c r="J73" s="461"/>
      <c r="K73" s="461"/>
      <c r="L73" s="461"/>
      <c r="M73" s="463"/>
      <c r="N73" s="2743"/>
      <c r="O73" s="2743"/>
      <c r="P73" s="2730"/>
      <c r="Q73" s="2730"/>
      <c r="R73" s="2652"/>
      <c r="S73" s="2652"/>
      <c r="T73" s="2652"/>
      <c r="U73" s="2652"/>
      <c r="V73" s="2652"/>
      <c r="W73" s="2652"/>
      <c r="X73" s="2652"/>
      <c r="Y73" s="2652"/>
      <c r="Z73" s="2652"/>
      <c r="AA73" s="2652"/>
      <c r="AB73" s="2652"/>
      <c r="AC73" s="2652"/>
    </row>
    <row r="74" spans="1:29">
      <c r="A74" s="476" t="s">
        <v>1716</v>
      </c>
      <c r="B74" s="477" t="s">
        <v>1682</v>
      </c>
      <c r="C74" s="3446" t="s">
        <v>3638</v>
      </c>
      <c r="D74" s="479"/>
      <c r="E74" s="479"/>
      <c r="F74" s="479"/>
      <c r="G74" s="479"/>
      <c r="H74" s="479"/>
      <c r="I74" s="479"/>
      <c r="J74" s="479"/>
      <c r="K74" s="480"/>
      <c r="L74" s="481"/>
      <c r="M74" s="482"/>
      <c r="N74" s="2744"/>
      <c r="O74" s="2744"/>
      <c r="P74" s="2769"/>
      <c r="Q74" s="2730"/>
      <c r="R74" s="2716"/>
      <c r="S74" s="2716"/>
      <c r="T74" s="2716"/>
      <c r="U74" s="2716"/>
      <c r="V74" s="2716"/>
      <c r="W74" s="2716"/>
      <c r="X74" s="2716"/>
      <c r="Y74" s="2716"/>
      <c r="Z74" s="2716"/>
      <c r="AA74" s="2716"/>
      <c r="AB74" s="2716"/>
      <c r="AC74" s="2716"/>
    </row>
    <row r="75" spans="1:29" ht="15.75" thickBot="1">
      <c r="A75" s="483"/>
      <c r="B75" s="484"/>
      <c r="C75" s="485">
        <v>100</v>
      </c>
      <c r="D75" s="485"/>
      <c r="E75" s="485"/>
      <c r="F75" s="485"/>
      <c r="G75" s="485"/>
      <c r="H75" s="485"/>
      <c r="I75" s="485"/>
      <c r="J75" s="485"/>
      <c r="K75" s="485"/>
      <c r="L75" s="485"/>
      <c r="M75" s="486"/>
      <c r="N75" s="2745"/>
      <c r="O75" s="2745"/>
      <c r="P75" s="2769"/>
      <c r="Q75" s="2730"/>
      <c r="R75" s="2716"/>
      <c r="S75" s="2716"/>
      <c r="T75" s="2716"/>
      <c r="U75" s="2716"/>
      <c r="V75" s="2716"/>
      <c r="W75" s="2716"/>
      <c r="X75" s="2716"/>
      <c r="Y75" s="2716"/>
      <c r="Z75" s="2716"/>
      <c r="AA75" s="2716"/>
      <c r="AB75" s="2716"/>
      <c r="AC75" s="2716"/>
    </row>
    <row r="76" spans="1:29" ht="27.75" thickTop="1">
      <c r="A76" s="483"/>
      <c r="B76" s="487" t="s">
        <v>1685</v>
      </c>
      <c r="C76" s="488"/>
      <c r="D76" s="488"/>
      <c r="E76" s="488"/>
      <c r="F76" s="488"/>
      <c r="G76" s="488"/>
      <c r="H76" s="488"/>
      <c r="I76" s="488"/>
      <c r="J76" s="488"/>
      <c r="K76" s="489"/>
      <c r="L76" s="490"/>
      <c r="M76" s="491"/>
      <c r="N76" s="2744"/>
      <c r="O76" s="2744"/>
      <c r="P76" s="2769"/>
      <c r="Q76" s="2730"/>
      <c r="R76" s="2716"/>
      <c r="S76" s="2716"/>
      <c r="T76" s="2716"/>
      <c r="U76" s="2716"/>
      <c r="V76" s="2716"/>
      <c r="W76" s="2716"/>
      <c r="X76" s="2716"/>
      <c r="Y76" s="2716"/>
      <c r="Z76" s="2716"/>
      <c r="AA76" s="2716"/>
      <c r="AB76" s="2716"/>
      <c r="AC76" s="2716"/>
    </row>
    <row r="77" spans="1:29" ht="15.75" thickBot="1">
      <c r="A77" s="483"/>
      <c r="B77" s="492"/>
      <c r="C77" s="493"/>
      <c r="D77" s="493"/>
      <c r="E77" s="493"/>
      <c r="F77" s="493"/>
      <c r="G77" s="493"/>
      <c r="H77" s="493"/>
      <c r="I77" s="493"/>
      <c r="J77" s="493"/>
      <c r="K77" s="493"/>
      <c r="L77" s="493"/>
      <c r="M77" s="494"/>
      <c r="N77" s="2745"/>
      <c r="O77" s="2745"/>
      <c r="P77" s="2769"/>
      <c r="Q77" s="2730"/>
      <c r="R77" s="2716"/>
      <c r="S77" s="2716"/>
      <c r="T77" s="2716"/>
      <c r="U77" s="2716"/>
      <c r="V77" s="2716"/>
      <c r="W77" s="2716"/>
      <c r="X77" s="2716"/>
      <c r="Y77" s="2716"/>
      <c r="Z77" s="2716"/>
      <c r="AA77" s="2716"/>
      <c r="AB77" s="2716"/>
      <c r="AC77" s="2716"/>
    </row>
    <row r="78" spans="1:29" ht="15.75" thickTop="1">
      <c r="A78" s="483"/>
      <c r="B78" s="495" t="s">
        <v>1686</v>
      </c>
      <c r="C78" s="496" t="str">
        <f>C79&amp;"（含）"&amp;"-"&amp;D79</f>
        <v>0（含）-1</v>
      </c>
      <c r="D78" s="496" t="str">
        <f t="shared" ref="D78:L78" si="28">D79&amp;"（含）"&amp;"-"&amp;E79</f>
        <v>1（含）-2</v>
      </c>
      <c r="E78" s="496" t="str">
        <f t="shared" si="28"/>
        <v>2（含）-3</v>
      </c>
      <c r="F78" s="496" t="str">
        <f t="shared" si="28"/>
        <v>3（含）-4</v>
      </c>
      <c r="G78" s="496" t="str">
        <f t="shared" si="28"/>
        <v>4（含）-5</v>
      </c>
      <c r="H78" s="496" t="str">
        <f t="shared" si="28"/>
        <v>5（含）-</v>
      </c>
      <c r="I78" s="496" t="str">
        <f t="shared" si="28"/>
        <v>（含）-</v>
      </c>
      <c r="J78" s="496" t="str">
        <f t="shared" si="28"/>
        <v>（含）-</v>
      </c>
      <c r="K78" s="496" t="str">
        <f t="shared" si="28"/>
        <v>（含）-</v>
      </c>
      <c r="L78" s="496" t="str">
        <f t="shared" si="28"/>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3"/>
      <c r="B79" s="497"/>
      <c r="C79" s="498">
        <v>0</v>
      </c>
      <c r="D79" s="498">
        <v>1</v>
      </c>
      <c r="E79" s="498">
        <v>2</v>
      </c>
      <c r="F79" s="498">
        <v>3</v>
      </c>
      <c r="G79" s="498">
        <v>4</v>
      </c>
      <c r="H79" s="498">
        <v>5</v>
      </c>
      <c r="I79" s="498"/>
      <c r="J79" s="498"/>
      <c r="K79" s="499"/>
      <c r="L79" s="500"/>
      <c r="M79" s="501"/>
      <c r="N79" s="2744"/>
      <c r="O79" s="2744"/>
      <c r="P79" s="2769"/>
      <c r="Q79" s="2730"/>
      <c r="R79" s="2716"/>
      <c r="S79" s="2716"/>
      <c r="T79" s="2716"/>
      <c r="U79" s="2716"/>
      <c r="V79" s="2716"/>
      <c r="W79" s="2716"/>
      <c r="X79" s="2716"/>
      <c r="Y79" s="2716"/>
      <c r="Z79" s="2716"/>
      <c r="AA79" s="2716"/>
      <c r="AB79" s="2716"/>
      <c r="AC79" s="2716"/>
    </row>
    <row r="80" spans="1:29" ht="15.75" thickBot="1">
      <c r="A80" s="483"/>
      <c r="B80" s="484"/>
      <c r="C80" s="493">
        <v>100</v>
      </c>
      <c r="D80" s="493">
        <f t="shared" ref="D80:M80" si="29">IF($B$46="单位面积地价",C80+$K11,C80-$K11)</f>
        <v>98</v>
      </c>
      <c r="E80" s="493">
        <f t="shared" si="29"/>
        <v>96</v>
      </c>
      <c r="F80" s="493">
        <f t="shared" si="29"/>
        <v>94</v>
      </c>
      <c r="G80" s="493">
        <f t="shared" si="29"/>
        <v>92</v>
      </c>
      <c r="H80" s="493">
        <f t="shared" si="29"/>
        <v>90</v>
      </c>
      <c r="I80" s="493">
        <f t="shared" si="29"/>
        <v>88</v>
      </c>
      <c r="J80" s="493">
        <f t="shared" si="29"/>
        <v>86</v>
      </c>
      <c r="K80" s="493">
        <f t="shared" si="29"/>
        <v>84</v>
      </c>
      <c r="L80" s="493">
        <f t="shared" si="29"/>
        <v>82</v>
      </c>
      <c r="M80" s="493">
        <f t="shared" si="29"/>
        <v>80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2"/>
      <c r="B81" s="487" t="str">
        <f>B12</f>
        <v>配建</v>
      </c>
      <c r="C81" s="3447"/>
      <c r="D81" s="3447"/>
      <c r="E81" s="503"/>
      <c r="F81" s="503"/>
      <c r="G81" s="503"/>
      <c r="H81" s="504"/>
      <c r="I81" s="504"/>
      <c r="J81" s="504"/>
      <c r="K81" s="504"/>
      <c r="L81" s="505"/>
      <c r="M81" s="506"/>
      <c r="N81" s="2746"/>
      <c r="O81" s="2746"/>
      <c r="P81" s="2770"/>
      <c r="Q81" s="2737"/>
      <c r="R81" s="2738"/>
      <c r="S81" s="2738"/>
      <c r="T81" s="2738"/>
      <c r="U81" s="2738"/>
      <c r="V81" s="2738"/>
      <c r="W81" s="2738"/>
      <c r="X81" s="2738"/>
      <c r="Y81" s="2738"/>
      <c r="Z81" s="2738"/>
      <c r="AA81" s="2738"/>
      <c r="AB81" s="2738"/>
      <c r="AC81" s="2738"/>
    </row>
    <row r="82" spans="1:29" s="422" customFormat="1" ht="15.75" thickBot="1">
      <c r="A82" s="502"/>
      <c r="B82" s="492"/>
      <c r="C82" s="509"/>
      <c r="D82" s="485"/>
      <c r="E82" s="485"/>
      <c r="F82" s="485"/>
      <c r="G82" s="485"/>
      <c r="H82" s="485"/>
      <c r="I82" s="485"/>
      <c r="J82" s="485"/>
      <c r="K82" s="485"/>
      <c r="L82" s="485"/>
      <c r="M82" s="486"/>
      <c r="N82" s="2745"/>
      <c r="O82" s="2745"/>
      <c r="P82" s="2770"/>
      <c r="Q82" s="2737"/>
      <c r="R82" s="2738"/>
      <c r="S82" s="2738"/>
      <c r="T82" s="2738"/>
      <c r="U82" s="2738"/>
      <c r="V82" s="2738"/>
      <c r="W82" s="2738"/>
      <c r="X82" s="2738"/>
      <c r="Y82" s="2738"/>
      <c r="Z82" s="2738"/>
      <c r="AA82" s="2738"/>
      <c r="AB82" s="2738"/>
      <c r="AC82" s="2738"/>
    </row>
    <row r="83" spans="1:29" s="422" customFormat="1" ht="15.75" thickTop="1">
      <c r="A83" s="502"/>
      <c r="B83" s="487" t="str">
        <f>B13</f>
        <v>是否限价</v>
      </c>
      <c r="C83" s="3447" t="s">
        <v>3641</v>
      </c>
      <c r="D83" s="3447" t="s">
        <v>3642</v>
      </c>
      <c r="E83" s="503"/>
      <c r="F83" s="503"/>
      <c r="G83" s="503"/>
      <c r="H83" s="504"/>
      <c r="I83" s="504"/>
      <c r="J83" s="504"/>
      <c r="K83" s="504"/>
      <c r="L83" s="505"/>
      <c r="M83" s="506"/>
      <c r="N83" s="2746"/>
      <c r="O83" s="2746"/>
      <c r="P83" s="2714"/>
      <c r="Q83" s="2740"/>
      <c r="R83" s="2738"/>
      <c r="S83" s="2738"/>
      <c r="T83" s="2738"/>
      <c r="U83" s="2738"/>
      <c r="V83" s="2738"/>
      <c r="W83" s="2738"/>
      <c r="X83" s="2738"/>
      <c r="Y83" s="2738"/>
      <c r="Z83" s="2738"/>
      <c r="AA83" s="2738"/>
      <c r="AB83" s="2738"/>
      <c r="AC83" s="2738"/>
    </row>
    <row r="84" spans="1:29" s="422" customFormat="1" ht="15.75" thickBot="1">
      <c r="A84" s="502"/>
      <c r="B84" s="492"/>
      <c r="C84" s="509">
        <v>100</v>
      </c>
      <c r="D84" s="485">
        <v>105</v>
      </c>
      <c r="E84" s="509"/>
      <c r="F84" s="509"/>
      <c r="G84" s="509"/>
      <c r="H84" s="511"/>
      <c r="I84" s="511"/>
      <c r="J84" s="511"/>
      <c r="K84" s="511"/>
      <c r="L84" s="511"/>
      <c r="M84" s="512"/>
      <c r="N84" s="2746"/>
      <c r="O84" s="2746"/>
      <c r="P84" s="2770"/>
      <c r="Q84" s="2737"/>
      <c r="R84" s="2738"/>
      <c r="S84" s="2738"/>
      <c r="T84" s="2738"/>
      <c r="U84" s="2738"/>
      <c r="V84" s="2738"/>
      <c r="W84" s="2738"/>
      <c r="X84" s="2738"/>
      <c r="Y84" s="2738"/>
      <c r="Z84" s="2738"/>
      <c r="AA84" s="2738"/>
      <c r="AB84" s="2738"/>
      <c r="AC84" s="2738"/>
    </row>
    <row r="85" spans="1:29" s="422" customFormat="1" ht="15.75" thickTop="1">
      <c r="A85" s="502"/>
      <c r="B85" s="495" t="str">
        <f>B14</f>
        <v>个人份额占比</v>
      </c>
      <c r="C85" s="3501">
        <v>0.65</v>
      </c>
      <c r="D85" s="3501">
        <v>0.7</v>
      </c>
      <c r="E85" s="3501">
        <v>0.75</v>
      </c>
      <c r="F85" s="3501">
        <v>0.8</v>
      </c>
      <c r="G85" s="3501">
        <v>0.85</v>
      </c>
      <c r="H85" s="513"/>
      <c r="I85" s="513"/>
      <c r="J85" s="513"/>
      <c r="K85" s="513"/>
      <c r="L85" s="514"/>
      <c r="M85" s="515"/>
      <c r="N85" s="2746"/>
      <c r="O85" s="2746"/>
      <c r="P85" s="2775"/>
      <c r="Q85" s="2737"/>
      <c r="R85" s="2738"/>
      <c r="S85" s="2738"/>
      <c r="T85" s="2738"/>
      <c r="U85" s="2738"/>
      <c r="V85" s="2738"/>
      <c r="W85" s="2738"/>
      <c r="X85" s="2738"/>
      <c r="Y85" s="2738"/>
      <c r="Z85" s="2738"/>
      <c r="AA85" s="2738"/>
      <c r="AB85" s="2738"/>
      <c r="AC85" s="2738"/>
    </row>
    <row r="86" spans="1:29" s="422" customFormat="1" ht="15.75" thickBot="1">
      <c r="A86" s="517"/>
      <c r="B86" s="518"/>
      <c r="C86" s="519">
        <v>100</v>
      </c>
      <c r="D86" s="519">
        <f>C86+2</f>
        <v>102</v>
      </c>
      <c r="E86" s="519">
        <f t="shared" ref="E86:G86" si="30">D86+2</f>
        <v>104</v>
      </c>
      <c r="F86" s="519">
        <f t="shared" si="30"/>
        <v>106</v>
      </c>
      <c r="G86" s="519">
        <f t="shared" si="30"/>
        <v>108</v>
      </c>
      <c r="H86" s="520"/>
      <c r="I86" s="520"/>
      <c r="J86" s="520"/>
      <c r="K86" s="520"/>
      <c r="L86" s="520"/>
      <c r="M86" s="521"/>
      <c r="N86" s="2746"/>
      <c r="O86" s="2746"/>
      <c r="P86" s="2770"/>
      <c r="Q86" s="2737"/>
      <c r="R86" s="2738"/>
      <c r="S86" s="2738"/>
      <c r="T86" s="2738"/>
      <c r="U86" s="2738"/>
      <c r="V86" s="2738"/>
      <c r="W86" s="2738"/>
      <c r="X86" s="2738"/>
      <c r="Y86" s="2738"/>
      <c r="Z86" s="2738"/>
      <c r="AA86" s="2738"/>
      <c r="AB86" s="2738"/>
      <c r="AC86" s="2738"/>
    </row>
    <row r="87" spans="1:29">
      <c r="A87" s="476" t="s">
        <v>1687</v>
      </c>
      <c r="B87" s="477" t="s">
        <v>1717</v>
      </c>
      <c r="C87" s="522" t="s">
        <v>1718</v>
      </c>
      <c r="D87" s="522" t="s">
        <v>1719</v>
      </c>
      <c r="E87" s="522" t="s">
        <v>1720</v>
      </c>
      <c r="F87" s="522" t="s">
        <v>1721</v>
      </c>
      <c r="G87" s="522" t="s">
        <v>1722</v>
      </c>
      <c r="H87" s="478"/>
      <c r="I87" s="478"/>
      <c r="J87" s="478"/>
      <c r="K87" s="523"/>
      <c r="L87" s="524"/>
      <c r="M87" s="525"/>
      <c r="N87" s="2744"/>
      <c r="O87" s="2744"/>
      <c r="P87" s="2771"/>
      <c r="Q87" s="2730"/>
      <c r="R87" s="2716"/>
      <c r="S87" s="2716"/>
      <c r="T87" s="2716"/>
      <c r="U87" s="2716"/>
      <c r="V87" s="2716"/>
      <c r="W87" s="2716"/>
      <c r="X87" s="2716"/>
      <c r="Y87" s="2716"/>
      <c r="Z87" s="2716"/>
      <c r="AA87" s="2716"/>
      <c r="AB87" s="2716"/>
      <c r="AC87" s="2716"/>
    </row>
    <row r="88" spans="1:29" ht="15.75" thickBot="1">
      <c r="A88" s="483"/>
      <c r="B88" s="492"/>
      <c r="C88" s="493">
        <v>100</v>
      </c>
      <c r="D88" s="493">
        <f>C88-$K15</f>
        <v>97</v>
      </c>
      <c r="E88" s="493">
        <f>D88-$K15</f>
        <v>94</v>
      </c>
      <c r="F88" s="493">
        <f>E88-$K15</f>
        <v>91</v>
      </c>
      <c r="G88" s="493">
        <f>F88-$K15</f>
        <v>88</v>
      </c>
      <c r="H88" s="493"/>
      <c r="I88" s="493"/>
      <c r="J88" s="493"/>
      <c r="K88" s="493"/>
      <c r="L88" s="493"/>
      <c r="M88" s="494"/>
      <c r="N88" s="2745"/>
      <c r="O88" s="2745"/>
      <c r="P88" s="2769"/>
      <c r="Q88" s="2730"/>
      <c r="R88" s="2716"/>
      <c r="S88" s="2716"/>
      <c r="T88" s="2716"/>
      <c r="U88" s="2716"/>
      <c r="V88" s="2716"/>
      <c r="W88" s="2716"/>
      <c r="X88" s="2716"/>
      <c r="Y88" s="2716"/>
      <c r="Z88" s="2716"/>
      <c r="AA88" s="2716"/>
      <c r="AB88" s="2716"/>
      <c r="AC88" s="2716"/>
    </row>
    <row r="89" spans="1:29" ht="15.75" thickTop="1">
      <c r="A89" s="483"/>
      <c r="B89" s="487" t="s">
        <v>1903</v>
      </c>
      <c r="C89" s="527" t="s">
        <v>1718</v>
      </c>
      <c r="D89" s="527" t="s">
        <v>1719</v>
      </c>
      <c r="E89" s="527" t="s">
        <v>1720</v>
      </c>
      <c r="F89" s="527" t="s">
        <v>1721</v>
      </c>
      <c r="G89" s="527" t="s">
        <v>1722</v>
      </c>
      <c r="H89" s="488"/>
      <c r="I89" s="488"/>
      <c r="J89" s="488"/>
      <c r="K89" s="489"/>
      <c r="L89" s="490"/>
      <c r="M89" s="491"/>
      <c r="N89" s="2744"/>
      <c r="O89" s="2744"/>
      <c r="P89" s="2769"/>
      <c r="Q89" s="2730"/>
      <c r="R89" s="2716"/>
      <c r="S89" s="2716"/>
      <c r="T89" s="2716"/>
      <c r="U89" s="2716"/>
      <c r="V89" s="2716"/>
      <c r="W89" s="2716"/>
      <c r="X89" s="2716"/>
      <c r="Y89" s="2716"/>
      <c r="Z89" s="2716"/>
      <c r="AA89" s="2716"/>
      <c r="AB89" s="2716"/>
      <c r="AC89" s="2716"/>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5"/>
      <c r="O90" s="2745"/>
      <c r="P90" s="2769"/>
      <c r="Q90" s="2730"/>
      <c r="R90" s="2716"/>
      <c r="S90" s="2716"/>
      <c r="T90" s="2716"/>
      <c r="U90" s="2716"/>
      <c r="V90" s="2716"/>
      <c r="W90" s="2716"/>
      <c r="X90" s="2716"/>
      <c r="Y90" s="2716"/>
      <c r="Z90" s="2716"/>
      <c r="AA90" s="2716"/>
      <c r="AB90" s="2716"/>
      <c r="AC90" s="2716"/>
    </row>
    <row r="91" spans="1:29" ht="15.75" thickTop="1">
      <c r="A91" s="483"/>
      <c r="B91" s="487" t="s">
        <v>1818</v>
      </c>
      <c r="C91" s="527" t="s">
        <v>1718</v>
      </c>
      <c r="D91" s="527" t="s">
        <v>1719</v>
      </c>
      <c r="E91" s="527" t="s">
        <v>1720</v>
      </c>
      <c r="F91" s="527" t="s">
        <v>1721</v>
      </c>
      <c r="G91" s="527" t="s">
        <v>1722</v>
      </c>
      <c r="H91" s="488"/>
      <c r="I91" s="488"/>
      <c r="J91" s="488"/>
      <c r="K91" s="489"/>
      <c r="L91" s="490"/>
      <c r="M91" s="491"/>
      <c r="N91" s="2744"/>
      <c r="O91" s="2744"/>
      <c r="P91" s="2769"/>
      <c r="Q91" s="2730"/>
      <c r="R91" s="2716"/>
      <c r="S91" s="2716"/>
      <c r="T91" s="2716"/>
      <c r="U91" s="2716"/>
      <c r="V91" s="2716"/>
      <c r="W91" s="2716"/>
      <c r="X91" s="2716"/>
      <c r="Y91" s="2716"/>
      <c r="Z91" s="2716"/>
      <c r="AA91" s="2716"/>
      <c r="AB91" s="2716"/>
      <c r="AC91" s="2716"/>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5"/>
      <c r="O92" s="2745"/>
      <c r="P92" s="2769"/>
      <c r="Q92" s="2730"/>
      <c r="R92" s="2716"/>
      <c r="S92" s="2716"/>
      <c r="T92" s="2716"/>
      <c r="U92" s="2716"/>
      <c r="V92" s="2716"/>
      <c r="W92" s="2716"/>
      <c r="X92" s="2716"/>
      <c r="Y92" s="2716"/>
      <c r="Z92" s="2716"/>
      <c r="AA92" s="2716"/>
      <c r="AB92" s="2716"/>
      <c r="AC92" s="2716"/>
    </row>
    <row r="93" spans="1:29" ht="15.75" thickTop="1">
      <c r="A93" s="483"/>
      <c r="B93" s="487" t="s">
        <v>1723</v>
      </c>
      <c r="C93" s="527" t="s">
        <v>1718</v>
      </c>
      <c r="D93" s="527" t="s">
        <v>1719</v>
      </c>
      <c r="E93" s="527" t="s">
        <v>1720</v>
      </c>
      <c r="F93" s="527" t="s">
        <v>1721</v>
      </c>
      <c r="G93" s="527" t="s">
        <v>1722</v>
      </c>
      <c r="H93" s="488"/>
      <c r="I93" s="488"/>
      <c r="J93" s="488"/>
      <c r="K93" s="489"/>
      <c r="L93" s="490"/>
      <c r="M93" s="491"/>
      <c r="N93" s="2744"/>
      <c r="O93" s="2744"/>
      <c r="P93" s="2769"/>
      <c r="Q93" s="2730"/>
      <c r="R93" s="2716"/>
      <c r="S93" s="2716"/>
      <c r="T93" s="2716"/>
      <c r="U93" s="2716"/>
      <c r="V93" s="2716"/>
      <c r="W93" s="2716"/>
      <c r="X93" s="2716"/>
      <c r="Y93" s="2716"/>
      <c r="Z93" s="2716"/>
      <c r="AA93" s="2716"/>
      <c r="AB93" s="2716"/>
      <c r="AC93" s="2716"/>
    </row>
    <row r="94" spans="1:29" ht="15.75" thickBot="1">
      <c r="A94" s="483"/>
      <c r="B94" s="492"/>
      <c r="C94" s="493">
        <v>100</v>
      </c>
      <c r="D94" s="493">
        <f>C94-$K21</f>
        <v>98</v>
      </c>
      <c r="E94" s="493">
        <f>D94-$K21</f>
        <v>96</v>
      </c>
      <c r="F94" s="493">
        <f>E94-$K21</f>
        <v>94</v>
      </c>
      <c r="G94" s="493">
        <f>F94-$K21</f>
        <v>92</v>
      </c>
      <c r="H94" s="493"/>
      <c r="I94" s="493"/>
      <c r="J94" s="493"/>
      <c r="K94" s="493"/>
      <c r="L94" s="493"/>
      <c r="M94" s="494"/>
      <c r="N94" s="2745"/>
      <c r="O94" s="2745"/>
      <c r="P94" s="2769"/>
      <c r="Q94" s="2730"/>
      <c r="R94" s="2716"/>
      <c r="S94" s="2716"/>
      <c r="T94" s="2716"/>
      <c r="U94" s="2716"/>
      <c r="V94" s="2716"/>
      <c r="W94" s="2716"/>
      <c r="X94" s="2716"/>
      <c r="Y94" s="2716"/>
      <c r="Z94" s="2716"/>
      <c r="AA94" s="2716"/>
      <c r="AB94" s="2716"/>
      <c r="AC94" s="2716"/>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3"/>
      <c r="O95" s="2743"/>
      <c r="P95" s="2769"/>
      <c r="Q95" s="2730"/>
      <c r="R95" s="2652"/>
      <c r="S95" s="2652"/>
      <c r="T95" s="2652"/>
      <c r="U95" s="2652"/>
      <c r="V95" s="2652"/>
      <c r="W95" s="2652"/>
      <c r="X95" s="2652"/>
      <c r="Y95" s="2652"/>
      <c r="Z95" s="2652"/>
      <c r="AA95" s="2652"/>
      <c r="AB95" s="2652"/>
      <c r="AC95" s="2652"/>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5"/>
      <c r="O96" s="2745"/>
      <c r="P96" s="2769"/>
      <c r="Q96" s="2730"/>
      <c r="R96" s="2652"/>
      <c r="S96" s="2652"/>
      <c r="T96" s="2652"/>
      <c r="U96" s="2652"/>
      <c r="V96" s="2652"/>
      <c r="W96" s="2652"/>
      <c r="X96" s="2652"/>
      <c r="Y96" s="2652"/>
      <c r="Z96" s="2652"/>
      <c r="AA96" s="2652"/>
      <c r="AB96" s="2652"/>
      <c r="AC96" s="2652"/>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3"/>
      <c r="O97" s="2743"/>
      <c r="P97" s="2769"/>
      <c r="Q97" s="2730"/>
      <c r="R97" s="2652"/>
      <c r="S97" s="2652"/>
      <c r="T97" s="2652"/>
      <c r="U97" s="2652"/>
      <c r="V97" s="2652"/>
      <c r="W97" s="2652"/>
      <c r="X97" s="2652"/>
      <c r="Y97" s="2652"/>
      <c r="Z97" s="2652"/>
      <c r="AA97" s="2652"/>
      <c r="AB97" s="2652"/>
      <c r="AC97" s="2652"/>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5"/>
      <c r="O98" s="2745"/>
      <c r="P98" s="2769"/>
      <c r="Q98" s="2730"/>
      <c r="R98" s="2652"/>
      <c r="S98" s="2652"/>
      <c r="T98" s="2652"/>
      <c r="U98" s="2652"/>
      <c r="V98" s="2652"/>
      <c r="W98" s="2652"/>
      <c r="X98" s="2652"/>
      <c r="Y98" s="2652"/>
      <c r="Z98" s="2652"/>
      <c r="AA98" s="2652"/>
      <c r="AB98" s="2652"/>
      <c r="AC98" s="2652"/>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6"/>
      <c r="O102" s="2746"/>
      <c r="P102" s="2770"/>
      <c r="Q102" s="2737"/>
      <c r="R102" s="2738"/>
      <c r="S102" s="2738"/>
      <c r="T102" s="2738"/>
      <c r="U102" s="2738"/>
      <c r="V102" s="2738"/>
      <c r="W102" s="2738"/>
      <c r="X102" s="2738"/>
      <c r="Y102" s="2738"/>
      <c r="Z102" s="2738"/>
      <c r="AA102" s="2738"/>
      <c r="AB102" s="2738"/>
      <c r="AC102" s="2738"/>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4"/>
      <c r="O103" s="2744"/>
      <c r="P103" s="2769"/>
      <c r="Q103" s="2730"/>
      <c r="R103" s="2716"/>
      <c r="S103" s="2716"/>
      <c r="T103" s="2716"/>
      <c r="U103" s="2716"/>
      <c r="V103" s="2716"/>
      <c r="W103" s="2716"/>
      <c r="X103" s="2716"/>
      <c r="Y103" s="2716"/>
      <c r="Z103" s="2716"/>
      <c r="AA103" s="2716"/>
      <c r="AB103" s="2716"/>
      <c r="AC103" s="2716"/>
    </row>
    <row r="104" spans="1:29" ht="15.75" thickBot="1">
      <c r="A104" s="483"/>
      <c r="B104" s="492"/>
      <c r="C104" s="493">
        <v>100</v>
      </c>
      <c r="D104" s="493">
        <f t="shared" ref="D104:M104" si="31">C104-$K31</f>
        <v>98</v>
      </c>
      <c r="E104" s="493">
        <f t="shared" si="31"/>
        <v>96</v>
      </c>
      <c r="F104" s="493">
        <f t="shared" si="31"/>
        <v>94</v>
      </c>
      <c r="G104" s="493">
        <f t="shared" si="31"/>
        <v>92</v>
      </c>
      <c r="H104" s="493">
        <f t="shared" si="31"/>
        <v>90</v>
      </c>
      <c r="I104" s="493">
        <f t="shared" si="31"/>
        <v>88</v>
      </c>
      <c r="J104" s="493">
        <f t="shared" si="31"/>
        <v>86</v>
      </c>
      <c r="K104" s="493">
        <f t="shared" si="31"/>
        <v>84</v>
      </c>
      <c r="L104" s="493">
        <f t="shared" si="31"/>
        <v>82</v>
      </c>
      <c r="M104" s="493">
        <f t="shared" si="31"/>
        <v>80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3"/>
      <c r="B105" s="487" t="s">
        <v>1812</v>
      </c>
      <c r="C105" s="3447" t="s">
        <v>3643</v>
      </c>
      <c r="D105" s="3447" t="s">
        <v>3644</v>
      </c>
      <c r="E105" s="3447" t="s">
        <v>3645</v>
      </c>
      <c r="F105" s="3447" t="s">
        <v>3646</v>
      </c>
      <c r="G105" s="3447" t="s">
        <v>3647</v>
      </c>
      <c r="H105" s="532"/>
      <c r="I105" s="532"/>
      <c r="J105" s="532"/>
      <c r="K105" s="533"/>
      <c r="L105" s="534"/>
      <c r="M105" s="535"/>
      <c r="N105" s="2744"/>
      <c r="O105" s="2744"/>
      <c r="P105" s="2769"/>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32">C106-$K32</f>
        <v>99</v>
      </c>
      <c r="E106" s="493">
        <f t="shared" si="32"/>
        <v>98</v>
      </c>
      <c r="F106" s="493">
        <f t="shared" si="32"/>
        <v>97</v>
      </c>
      <c r="G106" s="493">
        <f t="shared" si="32"/>
        <v>96</v>
      </c>
      <c r="H106" s="493">
        <f t="shared" si="32"/>
        <v>95</v>
      </c>
      <c r="I106" s="493">
        <f t="shared" si="32"/>
        <v>94</v>
      </c>
      <c r="J106" s="493">
        <f t="shared" si="32"/>
        <v>93</v>
      </c>
      <c r="K106" s="493">
        <f t="shared" si="32"/>
        <v>92</v>
      </c>
      <c r="L106" s="493">
        <f t="shared" si="32"/>
        <v>91</v>
      </c>
      <c r="M106" s="493">
        <f t="shared" si="32"/>
        <v>90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3"/>
      <c r="B107" s="487" t="s">
        <v>1870</v>
      </c>
      <c r="C107" s="532"/>
      <c r="D107" s="532"/>
      <c r="E107" s="532"/>
      <c r="F107" s="532"/>
      <c r="G107" s="532"/>
      <c r="H107" s="532"/>
      <c r="I107" s="532"/>
      <c r="J107" s="532"/>
      <c r="K107" s="533"/>
      <c r="L107" s="534"/>
      <c r="M107" s="535"/>
      <c r="N107" s="2744"/>
      <c r="O107" s="2744"/>
      <c r="P107" s="2769"/>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33">C108-$K34</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3"/>
      <c r="B109" s="495">
        <f>B35</f>
        <v>111</v>
      </c>
      <c r="C109" s="503"/>
      <c r="D109" s="503"/>
      <c r="E109" s="503"/>
      <c r="F109" s="503"/>
      <c r="G109" s="536"/>
      <c r="H109" s="536"/>
      <c r="I109" s="536"/>
      <c r="J109" s="536"/>
      <c r="K109" s="537"/>
      <c r="L109" s="538"/>
      <c r="M109" s="539"/>
      <c r="N109" s="2744"/>
      <c r="O109" s="2744"/>
      <c r="P109" s="2769"/>
      <c r="Q109" s="2730"/>
      <c r="R109" s="2716"/>
      <c r="S109" s="2716"/>
      <c r="T109" s="2716"/>
      <c r="U109" s="2716"/>
      <c r="V109" s="2716"/>
      <c r="W109" s="2716"/>
      <c r="X109" s="2716"/>
      <c r="Y109" s="2716"/>
      <c r="Z109" s="2716"/>
      <c r="AA109" s="2716"/>
      <c r="AB109" s="2716"/>
      <c r="AC109" s="2716"/>
    </row>
    <row r="110" spans="1:29" ht="15.75" thickBot="1">
      <c r="A110" s="483"/>
      <c r="B110" s="518"/>
      <c r="C110" s="509"/>
      <c r="D110" s="509"/>
      <c r="E110" s="509"/>
      <c r="F110" s="509"/>
      <c r="G110" s="540"/>
      <c r="H110" s="540"/>
      <c r="I110" s="540"/>
      <c r="J110" s="540"/>
      <c r="K110" s="540"/>
      <c r="L110" s="540"/>
      <c r="M110" s="541"/>
      <c r="N110" s="2745"/>
      <c r="O110" s="2745"/>
      <c r="P110" s="2769"/>
      <c r="Q110" s="2730"/>
      <c r="R110" s="2716"/>
      <c r="S110" s="2716"/>
      <c r="T110" s="2716"/>
      <c r="U110" s="2716"/>
      <c r="V110" s="2716"/>
      <c r="W110" s="2716"/>
      <c r="X110" s="2716"/>
      <c r="Y110" s="2716"/>
      <c r="Z110" s="2716"/>
      <c r="AA110" s="2716"/>
      <c r="AB110" s="2716"/>
      <c r="AC110" s="2716"/>
    </row>
    <row r="111" spans="1:29" ht="15" thickTop="1">
      <c r="A111" s="623"/>
      <c r="B111" s="487">
        <f>B36</f>
        <v>111</v>
      </c>
      <c r="C111" s="472"/>
      <c r="D111" s="472"/>
      <c r="E111" s="472"/>
      <c r="F111" s="472"/>
      <c r="G111" s="532"/>
      <c r="H111" s="532"/>
      <c r="I111" s="532"/>
      <c r="J111" s="532"/>
      <c r="K111" s="533"/>
      <c r="L111" s="534"/>
      <c r="M111" s="535"/>
      <c r="N111" s="2744"/>
      <c r="O111" s="2744"/>
      <c r="P111" s="2769"/>
      <c r="Q111" s="2730"/>
      <c r="R111" s="2716"/>
      <c r="S111" s="2716"/>
      <c r="T111" s="2716"/>
      <c r="U111" s="2716"/>
      <c r="V111" s="2716"/>
      <c r="W111" s="2716"/>
      <c r="X111" s="2716"/>
      <c r="Y111" s="2716"/>
      <c r="Z111" s="2716"/>
      <c r="AA111" s="2716"/>
      <c r="AB111" s="2716"/>
      <c r="AC111" s="2716"/>
    </row>
    <row r="112" spans="1:29" ht="15.75" thickBot="1">
      <c r="A112" s="483"/>
      <c r="B112" s="492"/>
      <c r="C112" s="519"/>
      <c r="D112" s="519"/>
      <c r="E112" s="519"/>
      <c r="F112" s="519"/>
      <c r="G112" s="485"/>
      <c r="H112" s="485"/>
      <c r="I112" s="485"/>
      <c r="J112" s="485"/>
      <c r="K112" s="485"/>
      <c r="L112" s="485"/>
      <c r="M112" s="486"/>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2"/>
      <c r="B113" s="543">
        <f>B37</f>
        <v>111</v>
      </c>
      <c r="C113" s="544"/>
      <c r="D113" s="544"/>
      <c r="E113" s="544"/>
      <c r="F113" s="544"/>
      <c r="G113" s="544"/>
      <c r="H113" s="544"/>
      <c r="I113" s="544"/>
      <c r="J113" s="545"/>
      <c r="K113" s="545"/>
      <c r="L113" s="546"/>
      <c r="M113" s="547"/>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2"/>
      <c r="B114" s="495"/>
      <c r="C114" s="461"/>
      <c r="D114" s="625"/>
      <c r="E114" s="625"/>
      <c r="F114" s="625"/>
      <c r="G114" s="625"/>
      <c r="H114" s="625"/>
      <c r="I114" s="625"/>
      <c r="J114" s="625"/>
      <c r="K114" s="625"/>
      <c r="L114" s="625"/>
      <c r="M114" s="647"/>
      <c r="N114" s="2745"/>
      <c r="O114" s="2745"/>
      <c r="P114" s="2770"/>
      <c r="Q114" s="2737"/>
      <c r="R114" s="2738"/>
      <c r="S114" s="2738"/>
      <c r="T114" s="2738"/>
      <c r="U114" s="2738"/>
      <c r="V114" s="2738"/>
      <c r="W114" s="2738"/>
      <c r="X114" s="2738"/>
      <c r="Y114" s="2738"/>
      <c r="Z114" s="2738"/>
      <c r="AA114" s="2738"/>
      <c r="AB114" s="2738"/>
      <c r="AC114" s="2738"/>
    </row>
    <row r="115" spans="1:29" ht="28.5">
      <c r="A115" s="476" t="s">
        <v>1691</v>
      </c>
      <c r="B115" s="477" t="s">
        <v>1910</v>
      </c>
      <c r="C115" s="478" t="str">
        <f>C116&amp;"(含)"&amp;"-"&amp;D116</f>
        <v>0(含)-50000</v>
      </c>
      <c r="D115" s="478" t="str">
        <f t="shared" ref="D115:M115" si="34">D116&amp;"(含)"&amp;"-"&amp;E116</f>
        <v>50000(含)-100000</v>
      </c>
      <c r="E115" s="478" t="str">
        <f t="shared" si="34"/>
        <v>100000(含)-150000</v>
      </c>
      <c r="F115" s="478" t="str">
        <f t="shared" si="34"/>
        <v>150000(含)-</v>
      </c>
      <c r="G115" s="478" t="str">
        <f t="shared" si="34"/>
        <v>(含)-</v>
      </c>
      <c r="H115" s="478" t="str">
        <f t="shared" si="34"/>
        <v>(含)-</v>
      </c>
      <c r="I115" s="478" t="str">
        <f t="shared" si="34"/>
        <v>(含)-</v>
      </c>
      <c r="J115" s="478" t="str">
        <f t="shared" si="34"/>
        <v>(含)-</v>
      </c>
      <c r="K115" s="478" t="str">
        <f t="shared" si="34"/>
        <v>(含)-</v>
      </c>
      <c r="L115" s="478" t="str">
        <f t="shared" si="34"/>
        <v>(含)-</v>
      </c>
      <c r="M115" s="478" t="str">
        <f t="shared" si="34"/>
        <v>(含)-</v>
      </c>
      <c r="N115" s="2744"/>
      <c r="O115" s="2744"/>
      <c r="P115" s="2769"/>
      <c r="Q115" s="2730"/>
      <c r="R115" s="2716"/>
      <c r="S115" s="2716"/>
      <c r="T115" s="2716"/>
      <c r="U115" s="2716"/>
      <c r="V115" s="2716"/>
      <c r="W115" s="2716"/>
      <c r="X115" s="2716"/>
      <c r="Y115" s="2716"/>
      <c r="Z115" s="2716"/>
      <c r="AA115" s="2716"/>
      <c r="AB115" s="2716"/>
      <c r="AC115" s="2716"/>
    </row>
    <row r="116" spans="1:29" ht="15">
      <c r="A116" s="483"/>
      <c r="B116" s="495"/>
      <c r="C116" s="544">
        <v>0</v>
      </c>
      <c r="D116" s="544">
        <v>50000</v>
      </c>
      <c r="E116" s="544">
        <v>100000</v>
      </c>
      <c r="F116" s="544">
        <v>150000</v>
      </c>
      <c r="G116" s="544"/>
      <c r="H116" s="544"/>
      <c r="I116" s="544"/>
      <c r="J116" s="545"/>
      <c r="K116" s="545"/>
      <c r="L116" s="546"/>
      <c r="M116" s="547"/>
      <c r="N116" s="2744"/>
      <c r="O116" s="2744"/>
      <c r="P116" s="2769"/>
      <c r="Q116" s="2730"/>
      <c r="R116" s="2716"/>
      <c r="S116" s="2716"/>
      <c r="T116" s="2716"/>
      <c r="U116" s="2716"/>
      <c r="V116" s="2716"/>
      <c r="W116" s="2716"/>
      <c r="X116" s="2716"/>
      <c r="Y116" s="2716"/>
      <c r="Z116" s="2716"/>
      <c r="AA116" s="2716"/>
      <c r="AB116" s="2716"/>
      <c r="AC116" s="2716"/>
    </row>
    <row r="117" spans="1:29" ht="15.75" thickBot="1">
      <c r="A117" s="483"/>
      <c r="B117" s="492"/>
      <c r="C117" s="519">
        <v>100</v>
      </c>
      <c r="D117" s="540">
        <f>C117+2</f>
        <v>102</v>
      </c>
      <c r="E117" s="540">
        <f t="shared" ref="E117:F117" si="35">D117+2</f>
        <v>104</v>
      </c>
      <c r="F117" s="540">
        <f t="shared" si="35"/>
        <v>106</v>
      </c>
      <c r="G117" s="540"/>
      <c r="H117" s="540"/>
      <c r="I117" s="540"/>
      <c r="J117" s="540"/>
      <c r="K117" s="540"/>
      <c r="L117" s="540"/>
      <c r="M117" s="541"/>
      <c r="N117" s="2745"/>
      <c r="O117" s="2745"/>
      <c r="P117" s="2769"/>
      <c r="Q117" s="2730"/>
      <c r="R117" s="2716"/>
      <c r="S117" s="2716"/>
      <c r="T117" s="2716"/>
      <c r="U117" s="2716"/>
      <c r="V117" s="2716"/>
      <c r="W117" s="2716"/>
      <c r="X117" s="2716"/>
      <c r="Y117" s="2716"/>
      <c r="Z117" s="2716"/>
      <c r="AA117" s="2716"/>
      <c r="AB117" s="2716"/>
      <c r="AC117" s="2716"/>
    </row>
    <row r="118" spans="1:29" ht="15" thickTop="1">
      <c r="A118" s="548"/>
      <c r="B118" s="487" t="s">
        <v>1911</v>
      </c>
      <c r="C118" s="3448" t="s">
        <v>3648</v>
      </c>
      <c r="D118" s="3448" t="s">
        <v>3649</v>
      </c>
      <c r="E118" s="3448" t="s">
        <v>3650</v>
      </c>
      <c r="F118" s="3448" t="s">
        <v>3651</v>
      </c>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row>
    <row r="119" spans="1:29" ht="15.75" thickBot="1">
      <c r="A119" s="483"/>
      <c r="B119" s="492"/>
      <c r="C119" s="493">
        <v>100</v>
      </c>
      <c r="D119" s="493">
        <f t="shared" ref="D119:M119" si="36">C119-$K39</f>
        <v>97</v>
      </c>
      <c r="E119" s="493">
        <f t="shared" si="36"/>
        <v>94</v>
      </c>
      <c r="F119" s="493">
        <f t="shared" si="36"/>
        <v>91</v>
      </c>
      <c r="G119" s="493">
        <f t="shared" si="36"/>
        <v>88</v>
      </c>
      <c r="H119" s="493">
        <f t="shared" si="36"/>
        <v>85</v>
      </c>
      <c r="I119" s="493">
        <f t="shared" si="36"/>
        <v>82</v>
      </c>
      <c r="J119" s="493">
        <f t="shared" si="36"/>
        <v>79</v>
      </c>
      <c r="K119" s="493">
        <f t="shared" si="36"/>
        <v>76</v>
      </c>
      <c r="L119" s="493">
        <f t="shared" si="36"/>
        <v>73</v>
      </c>
      <c r="M119" s="494">
        <f t="shared" si="36"/>
        <v>70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8"/>
      <c r="B120" s="487" t="s">
        <v>1912</v>
      </c>
      <c r="C120" s="503"/>
      <c r="D120" s="503"/>
      <c r="E120" s="503"/>
      <c r="F120" s="532"/>
      <c r="G120" s="532"/>
      <c r="H120" s="532"/>
      <c r="I120" s="532"/>
      <c r="J120" s="532"/>
      <c r="K120" s="533"/>
      <c r="L120" s="534"/>
      <c r="M120" s="535"/>
      <c r="N120" s="2744"/>
      <c r="O120" s="2744"/>
      <c r="P120" s="2769"/>
      <c r="Q120" s="2730"/>
      <c r="R120" s="2716"/>
      <c r="S120" s="2716"/>
      <c r="T120" s="2716"/>
      <c r="U120" s="2716"/>
      <c r="V120" s="2716"/>
      <c r="W120" s="2716"/>
      <c r="X120" s="2716"/>
      <c r="Y120" s="2716"/>
      <c r="Z120" s="2716"/>
      <c r="AA120" s="2716"/>
      <c r="AB120" s="2716"/>
      <c r="AC120" s="2716"/>
    </row>
    <row r="121" spans="1:29" ht="15.75" thickBot="1">
      <c r="A121" s="483"/>
      <c r="B121" s="492"/>
      <c r="C121" s="493">
        <v>100</v>
      </c>
      <c r="D121" s="493">
        <f t="shared" ref="D121:M121" si="37">C121-$K40</f>
        <v>100</v>
      </c>
      <c r="E121" s="493">
        <f t="shared" si="37"/>
        <v>100</v>
      </c>
      <c r="F121" s="493">
        <f t="shared" si="37"/>
        <v>100</v>
      </c>
      <c r="G121" s="493">
        <f t="shared" si="37"/>
        <v>100</v>
      </c>
      <c r="H121" s="493">
        <f t="shared" si="37"/>
        <v>100</v>
      </c>
      <c r="I121" s="493">
        <f t="shared" si="37"/>
        <v>100</v>
      </c>
      <c r="J121" s="493">
        <f t="shared" si="37"/>
        <v>100</v>
      </c>
      <c r="K121" s="493">
        <f t="shared" si="37"/>
        <v>100</v>
      </c>
      <c r="L121" s="493">
        <f t="shared" si="37"/>
        <v>100</v>
      </c>
      <c r="M121" s="494">
        <f t="shared" si="3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2"/>
      <c r="B122" s="487" t="s">
        <v>1913</v>
      </c>
      <c r="C122" s="3447" t="s">
        <v>3652</v>
      </c>
      <c r="D122" s="3447" t="s">
        <v>3653</v>
      </c>
      <c r="E122" s="3447" t="s">
        <v>3654</v>
      </c>
      <c r="F122" s="3447" t="s">
        <v>3655</v>
      </c>
      <c r="G122" s="3447" t="s">
        <v>3656</v>
      </c>
      <c r="H122" s="532"/>
      <c r="I122" s="532"/>
      <c r="J122" s="532"/>
      <c r="K122" s="533"/>
      <c r="L122" s="534"/>
      <c r="M122" s="535"/>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2"/>
      <c r="B123" s="492"/>
      <c r="C123" s="493">
        <v>100</v>
      </c>
      <c r="D123" s="493">
        <f t="shared" ref="D123:M123" si="38">C123-$K41</f>
        <v>99</v>
      </c>
      <c r="E123" s="493">
        <f t="shared" si="38"/>
        <v>98</v>
      </c>
      <c r="F123" s="493">
        <f t="shared" si="38"/>
        <v>97</v>
      </c>
      <c r="G123" s="493">
        <f t="shared" si="38"/>
        <v>96</v>
      </c>
      <c r="H123" s="493">
        <f t="shared" si="38"/>
        <v>95</v>
      </c>
      <c r="I123" s="493">
        <f t="shared" si="38"/>
        <v>94</v>
      </c>
      <c r="J123" s="493">
        <f t="shared" si="38"/>
        <v>93</v>
      </c>
      <c r="K123" s="493">
        <f t="shared" si="38"/>
        <v>92</v>
      </c>
      <c r="L123" s="493">
        <f t="shared" si="38"/>
        <v>91</v>
      </c>
      <c r="M123" s="494">
        <f t="shared" si="38"/>
        <v>90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8"/>
      <c r="B124" s="487" t="s">
        <v>1914</v>
      </c>
      <c r="C124" s="3447" t="s">
        <v>3657</v>
      </c>
      <c r="D124" s="3447" t="s">
        <v>3452</v>
      </c>
      <c r="E124" s="3448" t="s">
        <v>3453</v>
      </c>
      <c r="F124" s="3448" t="s">
        <v>3658</v>
      </c>
      <c r="G124" s="532"/>
      <c r="H124" s="532"/>
      <c r="I124" s="532"/>
      <c r="J124" s="532"/>
      <c r="K124" s="533"/>
      <c r="L124" s="534"/>
      <c r="M124" s="535"/>
      <c r="N124" s="2744"/>
      <c r="O124" s="2744"/>
      <c r="P124" s="2769"/>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 t="shared" ref="D125:M125" si="39">C125-$K42</f>
        <v>98</v>
      </c>
      <c r="E125" s="493">
        <f t="shared" si="39"/>
        <v>96</v>
      </c>
      <c r="F125" s="493">
        <f t="shared" si="39"/>
        <v>94</v>
      </c>
      <c r="G125" s="493">
        <f t="shared" si="39"/>
        <v>92</v>
      </c>
      <c r="H125" s="493">
        <f t="shared" si="39"/>
        <v>90</v>
      </c>
      <c r="I125" s="493">
        <f t="shared" si="39"/>
        <v>88</v>
      </c>
      <c r="J125" s="493">
        <f t="shared" si="39"/>
        <v>86</v>
      </c>
      <c r="K125" s="493">
        <f t="shared" si="39"/>
        <v>84</v>
      </c>
      <c r="L125" s="493">
        <f t="shared" si="39"/>
        <v>82</v>
      </c>
      <c r="M125" s="494">
        <f t="shared" si="39"/>
        <v>80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8"/>
      <c r="B126" s="487">
        <f>B43</f>
        <v>111</v>
      </c>
      <c r="C126" s="503"/>
      <c r="D126" s="503"/>
      <c r="E126" s="503"/>
      <c r="F126" s="503"/>
      <c r="G126" s="503"/>
      <c r="H126" s="532"/>
      <c r="I126" s="532"/>
      <c r="J126" s="532"/>
      <c r="K126" s="533"/>
      <c r="L126" s="534"/>
      <c r="M126" s="535"/>
      <c r="N126" s="2744"/>
      <c r="O126" s="2744"/>
      <c r="P126" s="2769"/>
      <c r="Q126" s="2730"/>
      <c r="R126" s="2716"/>
      <c r="S126" s="2716"/>
      <c r="T126" s="2716"/>
      <c r="U126" s="2716"/>
      <c r="V126" s="2716"/>
      <c r="W126" s="2716"/>
      <c r="X126" s="2716"/>
      <c r="Y126" s="2716"/>
      <c r="Z126" s="2716"/>
      <c r="AA126" s="2716"/>
      <c r="AB126" s="2716"/>
      <c r="AC126" s="2716"/>
    </row>
    <row r="127" spans="1:29" ht="15.75" thickBot="1">
      <c r="A127" s="483"/>
      <c r="B127" s="492"/>
      <c r="C127" s="509"/>
      <c r="D127" s="509"/>
      <c r="E127" s="509"/>
      <c r="F127" s="509"/>
      <c r="G127" s="485"/>
      <c r="H127" s="485"/>
      <c r="I127" s="485"/>
      <c r="J127" s="485"/>
      <c r="K127" s="485"/>
      <c r="L127" s="485"/>
      <c r="M127" s="486"/>
      <c r="N127" s="2745"/>
      <c r="O127" s="2745"/>
      <c r="P127" s="2769"/>
      <c r="Q127" s="2730"/>
      <c r="R127" s="2716"/>
      <c r="S127" s="2716"/>
      <c r="T127" s="2716"/>
      <c r="U127" s="2716"/>
      <c r="V127" s="2716"/>
      <c r="W127" s="2716"/>
      <c r="X127" s="2716"/>
      <c r="Y127" s="2716"/>
      <c r="Z127" s="2716"/>
      <c r="AA127" s="2716"/>
      <c r="AB127" s="2716"/>
      <c r="AC127" s="2716"/>
    </row>
    <row r="128" spans="1:29" ht="15" thickTop="1">
      <c r="A128" s="548"/>
      <c r="B128" s="487">
        <f>B44</f>
        <v>111</v>
      </c>
      <c r="C128" s="472"/>
      <c r="D128" s="472"/>
      <c r="E128" s="472"/>
      <c r="F128" s="472"/>
      <c r="G128" s="532"/>
      <c r="H128" s="532"/>
      <c r="I128" s="532"/>
      <c r="J128" s="532"/>
      <c r="K128" s="533"/>
      <c r="L128" s="534"/>
      <c r="M128" s="535"/>
      <c r="N128" s="2744"/>
      <c r="O128" s="2744"/>
      <c r="P128" s="2769"/>
      <c r="Q128" s="2730"/>
      <c r="R128" s="2716"/>
      <c r="S128" s="2716"/>
      <c r="T128" s="2716"/>
      <c r="U128" s="2716"/>
      <c r="V128" s="2716"/>
      <c r="W128" s="2716"/>
      <c r="X128" s="2716"/>
      <c r="Y128" s="2716"/>
      <c r="Z128" s="2716"/>
      <c r="AA128" s="2716"/>
      <c r="AB128" s="2716"/>
      <c r="AC128" s="2716"/>
    </row>
    <row r="129" spans="1:29" ht="15.75" thickBot="1">
      <c r="A129" s="483"/>
      <c r="B129" s="492"/>
      <c r="C129" s="519"/>
      <c r="D129" s="519"/>
      <c r="E129" s="519"/>
      <c r="F129" s="519"/>
      <c r="G129" s="485"/>
      <c r="H129" s="485"/>
      <c r="I129" s="485"/>
      <c r="J129" s="485"/>
      <c r="K129" s="485"/>
      <c r="L129" s="485"/>
      <c r="M129" s="486"/>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2"/>
      <c r="B130" s="487">
        <f>B45</f>
        <v>111</v>
      </c>
      <c r="C130" s="472"/>
      <c r="D130" s="472"/>
      <c r="E130" s="472"/>
      <c r="F130" s="472"/>
      <c r="G130" s="504"/>
      <c r="H130" s="504"/>
      <c r="I130" s="504"/>
      <c r="J130" s="504"/>
      <c r="K130" s="504"/>
      <c r="L130" s="505"/>
      <c r="M130" s="506"/>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7"/>
      <c r="B131" s="648"/>
      <c r="C131" s="519"/>
      <c r="D131" s="519"/>
      <c r="E131" s="519"/>
      <c r="F131" s="519"/>
      <c r="G131" s="540"/>
      <c r="H131" s="540"/>
      <c r="I131" s="540"/>
      <c r="J131" s="540"/>
      <c r="K131" s="540"/>
      <c r="L131" s="540"/>
      <c r="M131" s="541"/>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Normal="60" zoomScaleSheetLayoutView="100" workbookViewId="0">
      <selection activeCell="I57" sqref="I5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7.375" style="357" customWidth="1"/>
    <col min="8" max="8" width="12.25" style="357" customWidth="1"/>
    <col min="9" max="9" width="17.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#REF!</v>
      </c>
      <c r="C2" s="908"/>
      <c r="D2" s="908"/>
      <c r="E2" s="908"/>
      <c r="F2" s="909"/>
      <c r="G2" s="908"/>
      <c r="H2" s="908"/>
      <c r="I2" s="908"/>
      <c r="J2" s="908"/>
      <c r="K2" s="910"/>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#REF!</v>
      </c>
      <c r="C3" s="203" t="s">
        <v>1866</v>
      </c>
      <c r="D3" s="1190"/>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29" ht="37.5" customHeight="1">
      <c r="A5" s="358"/>
      <c r="B5" s="359"/>
      <c r="C5" s="3714" t="s">
        <v>1670</v>
      </c>
      <c r="D5" s="3715"/>
      <c r="E5" s="3747" t="e">
        <f>#REF!</f>
        <v>#REF!</v>
      </c>
      <c r="F5" s="3748"/>
      <c r="G5" s="3714" t="e">
        <f>#REF!</f>
        <v>#REF!</v>
      </c>
      <c r="H5" s="3715"/>
      <c r="I5" s="3714" t="e">
        <f>#REF!</f>
        <v>#REF!</v>
      </c>
      <c r="J5" s="3715"/>
      <c r="K5" s="559"/>
      <c r="L5" s="2706"/>
      <c r="M5" s="2707"/>
      <c r="N5" s="2707"/>
      <c r="O5" s="2707"/>
      <c r="P5" s="3729"/>
      <c r="Q5" s="3730"/>
      <c r="R5" s="3710"/>
      <c r="S5" s="3711"/>
      <c r="T5" s="3710"/>
      <c r="U5" s="3711"/>
      <c r="V5" s="3735"/>
      <c r="W5" s="3735"/>
      <c r="X5" s="1352"/>
      <c r="Y5" s="3710"/>
      <c r="Z5" s="3711"/>
      <c r="AA5" s="3704"/>
      <c r="AB5" s="3704"/>
      <c r="AC5" s="3704"/>
    </row>
    <row r="6" spans="1:29" ht="28.5" customHeight="1" thickBot="1">
      <c r="A6" s="360"/>
      <c r="B6" s="361"/>
      <c r="C6" s="3749" t="s">
        <v>1916</v>
      </c>
      <c r="D6" s="3750"/>
      <c r="E6" s="3751" t="e">
        <f>I6</f>
        <v>#REF!</v>
      </c>
      <c r="F6" s="3752"/>
      <c r="G6" s="3749" t="e">
        <f>#REF!</f>
        <v>#REF!</v>
      </c>
      <c r="H6" s="3750"/>
      <c r="I6" s="3749" t="e">
        <f>#REF!</f>
        <v>#REF!</v>
      </c>
      <c r="J6" s="3750"/>
      <c r="K6" s="559" t="s">
        <v>1675</v>
      </c>
      <c r="L6" s="2706"/>
      <c r="M6" s="2707"/>
      <c r="N6" s="2707"/>
      <c r="O6" s="2707"/>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t="e">
        <f>#REF!</f>
        <v>#REF!</v>
      </c>
      <c r="F7" s="367">
        <f>SUMIF(65:65,YEAR(E7)&amp;"-"&amp;INT((MONTH(E7)+2)/3),66:66)</f>
        <v>0</v>
      </c>
      <c r="G7" s="1968" t="e">
        <f>#REF!</f>
        <v>#REF!</v>
      </c>
      <c r="H7" s="365">
        <f>SUMIF(65:65,YEAR(G7)&amp;"-"&amp;INT((MONTH(G7)+2)/3),66:66)</f>
        <v>0</v>
      </c>
      <c r="I7" s="1968" t="e">
        <f>#REF!</f>
        <v>#REF!</v>
      </c>
      <c r="J7" s="365">
        <f>SUMIF(65:65,YEAR(I7)&amp;"-"&amp;INT((MONTH(I7)+2)/3),66:66)</f>
        <v>0</v>
      </c>
      <c r="K7" s="560"/>
      <c r="L7" s="2708"/>
      <c r="M7" s="2709"/>
      <c r="N7" s="2709"/>
      <c r="O7" s="2709"/>
      <c r="P7" s="3706" t="s">
        <v>1677</v>
      </c>
      <c r="Q7" s="3736"/>
      <c r="R7" s="701" t="s">
        <v>14</v>
      </c>
      <c r="S7" s="702">
        <f t="shared" ref="S7:S15" si="0">F7</f>
        <v>0</v>
      </c>
      <c r="T7" s="701" t="s">
        <v>14</v>
      </c>
      <c r="U7" s="702">
        <f t="shared" ref="U7:U15" si="1">H7</f>
        <v>0</v>
      </c>
      <c r="V7" s="701" t="s">
        <v>14</v>
      </c>
      <c r="W7" s="702">
        <f t="shared" ref="W7:W15" si="2">J7</f>
        <v>0</v>
      </c>
      <c r="X7" s="703"/>
      <c r="Y7" s="3706" t="s">
        <v>1677</v>
      </c>
      <c r="Z7" s="3707"/>
      <c r="AA7" s="704" t="e">
        <f>D7/F7</f>
        <v>#DIV/0!</v>
      </c>
      <c r="AB7" s="704" t="e">
        <f>D7/H7</f>
        <v>#DIV/0!</v>
      </c>
      <c r="AC7" s="704"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40" si="3">D8/F8</f>
        <v>1</v>
      </c>
      <c r="AB8" s="704">
        <f t="shared" ref="AB8:AB40" si="4">D8/H8</f>
        <v>1</v>
      </c>
      <c r="AC8" s="704">
        <f t="shared" ref="AC8:AC40" si="5">D8/J8</f>
        <v>1</v>
      </c>
    </row>
    <row r="9" spans="1:29" s="108" customFormat="1">
      <c r="A9" s="369" t="s">
        <v>1681</v>
      </c>
      <c r="B9" s="63" t="s">
        <v>1682</v>
      </c>
      <c r="C9" s="1971" t="s">
        <v>3</v>
      </c>
      <c r="D9" s="126">
        <v>100</v>
      </c>
      <c r="E9" s="1971" t="s">
        <v>3</v>
      </c>
      <c r="F9" s="126">
        <f>SUMIF(70:70,E9,71:71)-SUMIF(70:70,C9,71:71)+100</f>
        <v>100</v>
      </c>
      <c r="G9" s="1971" t="s">
        <v>3</v>
      </c>
      <c r="H9" s="126">
        <f>SUMIF(70:70,G9,71:71)-SUMIF(70:70,C9,71:71)+100</f>
        <v>100</v>
      </c>
      <c r="I9" s="1971" t="s">
        <v>3</v>
      </c>
      <c r="J9" s="126">
        <f>SUMIF(70:70,I9,71:71)-SUMIF(70:70,C9,71:71)+100</f>
        <v>100</v>
      </c>
      <c r="K9" s="560"/>
      <c r="L9" s="2708"/>
      <c r="M9" s="2709"/>
      <c r="N9" s="2709"/>
      <c r="O9" s="2763"/>
      <c r="P9" s="3722"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102</v>
      </c>
      <c r="G10" s="383"/>
      <c r="H10" s="127">
        <f>ROUND(100/'数据-取费表'!G16,0)</f>
        <v>102</v>
      </c>
      <c r="I10" s="383"/>
      <c r="J10" s="127">
        <f>ROUND(100/'数据-取费表'!G16,0)</f>
        <v>102</v>
      </c>
      <c r="K10" s="620"/>
      <c r="L10" s="2710"/>
      <c r="M10" s="2711"/>
      <c r="N10" s="2711"/>
      <c r="O10" s="2764"/>
      <c r="P10" s="3722"/>
      <c r="Q10" s="1340" t="str">
        <f t="shared" si="6"/>
        <v>土地使用年限（年）</v>
      </c>
      <c r="R10" s="701" t="s">
        <v>14</v>
      </c>
      <c r="S10" s="702">
        <f t="shared" si="0"/>
        <v>102</v>
      </c>
      <c r="T10" s="701" t="s">
        <v>14</v>
      </c>
      <c r="U10" s="702">
        <f t="shared" si="1"/>
        <v>102</v>
      </c>
      <c r="V10" s="701" t="s">
        <v>14</v>
      </c>
      <c r="W10" s="702">
        <f t="shared" si="2"/>
        <v>102</v>
      </c>
      <c r="X10" s="703"/>
      <c r="Y10" s="3679"/>
      <c r="Z10" s="52" t="str">
        <f t="shared" si="7"/>
        <v>土地使用年限（年）</v>
      </c>
      <c r="AA10" s="704">
        <f t="shared" si="3"/>
        <v>0.98039215686274506</v>
      </c>
      <c r="AB10" s="704">
        <f t="shared" si="4"/>
        <v>0.98039215686274506</v>
      </c>
      <c r="AC10" s="704">
        <f t="shared" si="5"/>
        <v>0.98039215686274506</v>
      </c>
    </row>
    <row r="11" spans="1:29" ht="15">
      <c r="A11" s="379"/>
      <c r="B11" s="375" t="s">
        <v>1686</v>
      </c>
      <c r="C11" s="380">
        <v>1.2</v>
      </c>
      <c r="D11" s="127">
        <v>100</v>
      </c>
      <c r="E11" s="380">
        <v>1.5</v>
      </c>
      <c r="F11" s="127">
        <f>LOOKUP(E11,75:75,76:76)-LOOKUP(C11,75:75,76:76)+100</f>
        <v>95</v>
      </c>
      <c r="G11" s="381">
        <v>1</v>
      </c>
      <c r="H11" s="127">
        <f>LOOKUP(G11,75:75,76:76)-LOOKUP(C11,75:75,76:76)+100</f>
        <v>100</v>
      </c>
      <c r="I11" s="380">
        <v>1.2</v>
      </c>
      <c r="J11" s="127">
        <f>LOOKUP(I11,75:75,76:76)-LOOKUP(C11,75:75,76:76)+100</f>
        <v>100</v>
      </c>
      <c r="K11" s="621">
        <v>5</v>
      </c>
      <c r="L11" s="2712"/>
      <c r="M11" s="2707"/>
      <c r="N11" s="2707"/>
      <c r="O11" s="2765"/>
      <c r="P11" s="3722"/>
      <c r="Q11" s="1340" t="str">
        <f t="shared" si="6"/>
        <v>容积率</v>
      </c>
      <c r="R11" s="701" t="s">
        <v>14</v>
      </c>
      <c r="S11" s="702">
        <f t="shared" si="0"/>
        <v>95</v>
      </c>
      <c r="T11" s="701" t="s">
        <v>14</v>
      </c>
      <c r="U11" s="702">
        <f t="shared" si="1"/>
        <v>100</v>
      </c>
      <c r="V11" s="701" t="s">
        <v>14</v>
      </c>
      <c r="W11" s="702">
        <f t="shared" si="2"/>
        <v>100</v>
      </c>
      <c r="X11" s="703"/>
      <c r="Y11" s="3679"/>
      <c r="Z11" s="52" t="str">
        <f t="shared" si="7"/>
        <v>容积率</v>
      </c>
      <c r="AA11" s="704">
        <f t="shared" si="3"/>
        <v>1.0526315789473684</v>
      </c>
      <c r="AB11" s="704">
        <f t="shared" si="4"/>
        <v>1</v>
      </c>
      <c r="AC11" s="704">
        <f t="shared" si="5"/>
        <v>1</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08"/>
      <c r="M12" s="2709"/>
      <c r="N12" s="2709"/>
      <c r="O12" s="2763"/>
      <c r="P12" s="3722"/>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3"/>
      <c r="M13" s="2707"/>
      <c r="N13" s="2707"/>
      <c r="O13" s="2765"/>
      <c r="P13" s="3722"/>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3"/>
      <c r="M14" s="2707"/>
      <c r="N14" s="2707"/>
      <c r="O14" s="2765"/>
      <c r="P14" s="3722"/>
      <c r="Q14" s="1340">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57">
      <c r="A15" s="391" t="s">
        <v>1687</v>
      </c>
      <c r="B15" s="577" t="s">
        <v>1917</v>
      </c>
      <c r="C15" s="1965" t="str">
        <f>估价对象房地状况!G15</f>
        <v>估价对象位于XX开发区，园区建设成熟度XX，产业集聚程度XX</v>
      </c>
      <c r="D15" s="392">
        <v>100</v>
      </c>
      <c r="E15" s="393"/>
      <c r="F15" s="392">
        <f>SUMIF(83:83,E16,84:84)-SUMIF(83:83,C16,84:84)+100</f>
        <v>97</v>
      </c>
      <c r="G15" s="393"/>
      <c r="H15" s="392">
        <f>SUMIF(83:83,G16,84:84)-SUMIF(83:83,C16,84:84)+100</f>
        <v>97</v>
      </c>
      <c r="I15" s="395"/>
      <c r="J15" s="392">
        <f>SUMIF(83:83,I16,84:84)-SUMIF(83:83,C16,84:84)+100</f>
        <v>100</v>
      </c>
      <c r="K15" s="621">
        <v>3</v>
      </c>
      <c r="L15" s="2713"/>
      <c r="M15" s="2707"/>
      <c r="N15" s="2707"/>
      <c r="O15" s="2765"/>
      <c r="P15" s="3737" t="s">
        <v>1688</v>
      </c>
      <c r="Q15" s="1349" t="str">
        <f t="shared" si="6"/>
        <v>产业集聚程度</v>
      </c>
      <c r="R15" s="705" t="s">
        <v>14</v>
      </c>
      <c r="S15" s="706">
        <f t="shared" si="0"/>
        <v>97</v>
      </c>
      <c r="T15" s="705" t="s">
        <v>14</v>
      </c>
      <c r="U15" s="706">
        <f t="shared" si="1"/>
        <v>97</v>
      </c>
      <c r="V15" s="705" t="s">
        <v>14</v>
      </c>
      <c r="W15" s="706">
        <f t="shared" si="2"/>
        <v>100</v>
      </c>
      <c r="X15" s="1352"/>
      <c r="Y15" s="3737" t="s">
        <v>1688</v>
      </c>
      <c r="Z15" s="1353" t="str">
        <f t="shared" si="7"/>
        <v>产业集聚程度</v>
      </c>
      <c r="AA15" s="1350">
        <f t="shared" si="3"/>
        <v>1.0309278350515463</v>
      </c>
      <c r="AB15" s="1350">
        <f t="shared" si="4"/>
        <v>1.0309278350515463</v>
      </c>
      <c r="AC15" s="1350">
        <f t="shared" si="5"/>
        <v>1</v>
      </c>
    </row>
    <row r="16" spans="1:29" ht="15">
      <c r="A16" s="379"/>
      <c r="B16" s="578"/>
      <c r="C16" s="398" t="s">
        <v>3452</v>
      </c>
      <c r="D16" s="399"/>
      <c r="E16" s="398" t="s">
        <v>3453</v>
      </c>
      <c r="F16" s="399"/>
      <c r="G16" s="398" t="s">
        <v>3453</v>
      </c>
      <c r="H16" s="401"/>
      <c r="I16" s="398" t="s">
        <v>3452</v>
      </c>
      <c r="J16" s="399"/>
      <c r="K16" s="620"/>
      <c r="L16" s="2713"/>
      <c r="M16" s="2707"/>
      <c r="N16" s="2707"/>
      <c r="O16" s="2765"/>
      <c r="P16" s="3738"/>
      <c r="Q16" s="1349"/>
      <c r="R16" s="705"/>
      <c r="S16" s="706"/>
      <c r="T16" s="705"/>
      <c r="U16" s="706"/>
      <c r="V16" s="705"/>
      <c r="W16" s="706"/>
      <c r="X16" s="1352"/>
      <c r="Y16" s="3738"/>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3"/>
      <c r="M17" s="2707"/>
      <c r="N17" s="2707"/>
      <c r="O17" s="2765"/>
      <c r="P17" s="3738"/>
      <c r="Q17" s="1349" t="str">
        <f>B17</f>
        <v>交通便捷度</v>
      </c>
      <c r="R17" s="705" t="s">
        <v>14</v>
      </c>
      <c r="S17" s="706">
        <f>F17</f>
        <v>100</v>
      </c>
      <c r="T17" s="705" t="s">
        <v>14</v>
      </c>
      <c r="U17" s="706">
        <f>H17</f>
        <v>100</v>
      </c>
      <c r="V17" s="705" t="s">
        <v>14</v>
      </c>
      <c r="W17" s="706">
        <f>J17</f>
        <v>100</v>
      </c>
      <c r="X17" s="1352"/>
      <c r="Y17" s="3738"/>
      <c r="Z17" s="1353" t="str">
        <f>Q17</f>
        <v>交通便捷度</v>
      </c>
      <c r="AA17" s="1350">
        <f t="shared" si="3"/>
        <v>1</v>
      </c>
      <c r="AB17" s="1350">
        <f t="shared" si="4"/>
        <v>1</v>
      </c>
      <c r="AC17" s="1350">
        <f t="shared" si="5"/>
        <v>1</v>
      </c>
    </row>
    <row r="18" spans="1:29" ht="15">
      <c r="A18" s="379"/>
      <c r="B18" s="580"/>
      <c r="C18" s="398" t="s">
        <v>3453</v>
      </c>
      <c r="D18" s="399"/>
      <c r="E18" s="398" t="s">
        <v>3453</v>
      </c>
      <c r="F18" s="399"/>
      <c r="G18" s="398" t="s">
        <v>3453</v>
      </c>
      <c r="H18" s="399"/>
      <c r="I18" s="398" t="s">
        <v>3453</v>
      </c>
      <c r="J18" s="399"/>
      <c r="K18" s="620"/>
      <c r="L18" s="2713"/>
      <c r="M18" s="2707"/>
      <c r="N18" s="2707"/>
      <c r="O18" s="2765"/>
      <c r="P18" s="3738"/>
      <c r="Q18" s="1349"/>
      <c r="R18" s="705"/>
      <c r="S18" s="706"/>
      <c r="T18" s="705"/>
      <c r="U18" s="706"/>
      <c r="V18" s="705"/>
      <c r="W18" s="706"/>
      <c r="X18" s="1352"/>
      <c r="Y18" s="3738"/>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3"/>
      <c r="M19" s="2707"/>
      <c r="N19" s="2707"/>
      <c r="O19" s="2765"/>
      <c r="P19" s="3738"/>
      <c r="Q19" s="1349" t="str">
        <f t="shared" ref="Q19:Q33" si="8">B19</f>
        <v>区域土地利用方向</v>
      </c>
      <c r="R19" s="705" t="s">
        <v>14</v>
      </c>
      <c r="S19" s="706">
        <f>F19</f>
        <v>100</v>
      </c>
      <c r="T19" s="705" t="s">
        <v>14</v>
      </c>
      <c r="U19" s="706">
        <f>H19</f>
        <v>100</v>
      </c>
      <c r="V19" s="705" t="s">
        <v>14</v>
      </c>
      <c r="W19" s="706">
        <f>J19</f>
        <v>100</v>
      </c>
      <c r="X19" s="1352"/>
      <c r="Y19" s="3738"/>
      <c r="Z19" s="1353" t="str">
        <f>Q19</f>
        <v>区域土地利用方向</v>
      </c>
      <c r="AA19" s="1350">
        <f t="shared" si="3"/>
        <v>1</v>
      </c>
      <c r="AB19" s="1350">
        <f t="shared" si="4"/>
        <v>1</v>
      </c>
      <c r="AC19" s="1350">
        <f t="shared" si="5"/>
        <v>1</v>
      </c>
    </row>
    <row r="20" spans="1:29" ht="15">
      <c r="A20" s="358"/>
      <c r="B20" s="580"/>
      <c r="C20" s="398" t="s">
        <v>3452</v>
      </c>
      <c r="D20" s="399"/>
      <c r="E20" s="398" t="s">
        <v>3452</v>
      </c>
      <c r="F20" s="399"/>
      <c r="G20" s="398" t="s">
        <v>3452</v>
      </c>
      <c r="H20" s="399"/>
      <c r="I20" s="398" t="s">
        <v>3452</v>
      </c>
      <c r="J20" s="399"/>
      <c r="K20" s="740"/>
      <c r="L20" s="2713"/>
      <c r="M20" s="2707"/>
      <c r="N20" s="2707"/>
      <c r="O20" s="2765"/>
      <c r="P20" s="3738"/>
      <c r="Q20" s="1349"/>
      <c r="R20" s="705"/>
      <c r="S20" s="706"/>
      <c r="T20" s="705"/>
      <c r="U20" s="706"/>
      <c r="V20" s="705"/>
      <c r="W20" s="706"/>
      <c r="X20" s="1352"/>
      <c r="Y20" s="3738"/>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3"/>
      <c r="J21" s="401">
        <f>SUMIF(89:89,I22,90:90)-SUMIF(89:89,C22,90:90)+100</f>
        <v>100</v>
      </c>
      <c r="K21" s="621">
        <v>2</v>
      </c>
      <c r="L21" s="2713"/>
      <c r="M21" s="2707"/>
      <c r="N21" s="2707"/>
      <c r="O21" s="2765"/>
      <c r="P21" s="3738"/>
      <c r="Q21" s="1349" t="str">
        <f t="shared" si="8"/>
        <v>环境状况</v>
      </c>
      <c r="R21" s="705" t="s">
        <v>14</v>
      </c>
      <c r="S21" s="706">
        <f>F21</f>
        <v>100</v>
      </c>
      <c r="T21" s="705" t="s">
        <v>14</v>
      </c>
      <c r="U21" s="706">
        <f>H21</f>
        <v>100</v>
      </c>
      <c r="V21" s="705" t="s">
        <v>14</v>
      </c>
      <c r="W21" s="706">
        <f>J21</f>
        <v>100</v>
      </c>
      <c r="X21" s="1352"/>
      <c r="Y21" s="3738"/>
      <c r="Z21" s="1353" t="str">
        <f>Q21</f>
        <v>环境状况</v>
      </c>
      <c r="AA21" s="1350">
        <f t="shared" si="3"/>
        <v>1</v>
      </c>
      <c r="AB21" s="1350">
        <f t="shared" si="4"/>
        <v>1</v>
      </c>
      <c r="AC21" s="1350">
        <f t="shared" si="5"/>
        <v>1</v>
      </c>
    </row>
    <row r="22" spans="1:29" ht="15">
      <c r="A22" s="358"/>
      <c r="B22" s="580"/>
      <c r="C22" s="398" t="s">
        <v>3453</v>
      </c>
      <c r="D22" s="399"/>
      <c r="E22" s="1900" t="s">
        <v>3453</v>
      </c>
      <c r="F22" s="399"/>
      <c r="G22" s="1900" t="s">
        <v>3453</v>
      </c>
      <c r="H22" s="399"/>
      <c r="I22" s="1900" t="s">
        <v>3453</v>
      </c>
      <c r="J22" s="399"/>
      <c r="K22" s="620"/>
      <c r="L22" s="2713"/>
      <c r="M22" s="2707"/>
      <c r="N22" s="2707"/>
      <c r="O22" s="2765"/>
      <c r="P22" s="3738"/>
      <c r="Q22" s="1349"/>
      <c r="R22" s="705"/>
      <c r="S22" s="706"/>
      <c r="T22" s="705"/>
      <c r="U22" s="706"/>
      <c r="V22" s="705"/>
      <c r="W22" s="706"/>
      <c r="X22" s="1352"/>
      <c r="Y22" s="3738"/>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3"/>
      <c r="J23" s="401">
        <f>SUMIF(91:91,I24,92:92)-SUMIF(91:91,C24,92:92)+100</f>
        <v>100</v>
      </c>
      <c r="K23" s="621">
        <v>2</v>
      </c>
      <c r="L23" s="2708"/>
      <c r="M23" s="2709"/>
      <c r="N23" s="2709"/>
      <c r="O23" s="2763"/>
      <c r="P23" s="3738"/>
      <c r="Q23" s="1340" t="str">
        <f t="shared" si="8"/>
        <v>公共配套设施</v>
      </c>
      <c r="R23" s="701" t="s">
        <v>14</v>
      </c>
      <c r="S23" s="702">
        <f>F23</f>
        <v>100</v>
      </c>
      <c r="T23" s="701" t="s">
        <v>14</v>
      </c>
      <c r="U23" s="702">
        <f>H23</f>
        <v>100</v>
      </c>
      <c r="V23" s="701" t="s">
        <v>14</v>
      </c>
      <c r="W23" s="702">
        <f>J23</f>
        <v>100</v>
      </c>
      <c r="X23" s="703"/>
      <c r="Y23" s="3738"/>
      <c r="Z23" s="52" t="str">
        <f>Q23</f>
        <v>公共配套设施</v>
      </c>
      <c r="AA23" s="1350">
        <f>D23/F23</f>
        <v>1</v>
      </c>
      <c r="AB23" s="1350">
        <f>D23/H23</f>
        <v>1</v>
      </c>
      <c r="AC23" s="1350">
        <f>D23/J23</f>
        <v>1</v>
      </c>
    </row>
    <row r="24" spans="1:29" s="108" customFormat="1" ht="15">
      <c r="A24" s="597"/>
      <c r="B24" s="580"/>
      <c r="C24" s="1972" t="s">
        <v>3453</v>
      </c>
      <c r="D24" s="399"/>
      <c r="E24" s="1900" t="s">
        <v>3453</v>
      </c>
      <c r="F24" s="399"/>
      <c r="G24" s="1900" t="s">
        <v>3453</v>
      </c>
      <c r="H24" s="399"/>
      <c r="I24" s="1900" t="s">
        <v>3453</v>
      </c>
      <c r="J24" s="399"/>
      <c r="K24" s="620"/>
      <c r="L24" s="2708"/>
      <c r="M24" s="2709"/>
      <c r="N24" s="2709"/>
      <c r="O24" s="2763"/>
      <c r="P24" s="3738"/>
      <c r="Q24" s="1340"/>
      <c r="R24" s="701"/>
      <c r="S24" s="702"/>
      <c r="T24" s="701"/>
      <c r="U24" s="702"/>
      <c r="V24" s="701"/>
      <c r="W24" s="702"/>
      <c r="X24" s="703"/>
      <c r="Y24" s="3738"/>
      <c r="Z24" s="52"/>
      <c r="AA24" s="704">
        <v>1</v>
      </c>
      <c r="AB24" s="704">
        <v>1</v>
      </c>
      <c r="AC24" s="704">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3"/>
      <c r="J25" s="401">
        <f>SUMIF(93:93,I26,94:94)-SUMIF(93:93,C26,94:94)+100</f>
        <v>100</v>
      </c>
      <c r="K25" s="621">
        <v>1</v>
      </c>
      <c r="L25" s="2708"/>
      <c r="M25" s="2709"/>
      <c r="N25" s="2709"/>
      <c r="O25" s="2763"/>
      <c r="P25" s="3738"/>
      <c r="Q25" s="1340"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0">
        <f>D25/F25</f>
        <v>1</v>
      </c>
      <c r="AB25" s="1350">
        <f>D25/H25</f>
        <v>1</v>
      </c>
      <c r="AC25" s="1350">
        <f>D25/J25</f>
        <v>1</v>
      </c>
    </row>
    <row r="26" spans="1:29" s="108" customFormat="1" ht="15">
      <c r="A26" s="597"/>
      <c r="B26" s="580"/>
      <c r="C26" s="1972" t="s">
        <v>3454</v>
      </c>
      <c r="D26" s="399"/>
      <c r="E26" s="1972" t="s">
        <v>3454</v>
      </c>
      <c r="F26" s="399"/>
      <c r="G26" s="1972" t="s">
        <v>3454</v>
      </c>
      <c r="H26" s="399"/>
      <c r="I26" s="1972" t="s">
        <v>3454</v>
      </c>
      <c r="J26" s="399"/>
      <c r="K26" s="620"/>
      <c r="L26" s="2708"/>
      <c r="M26" s="2709"/>
      <c r="N26" s="2709"/>
      <c r="O26" s="2763"/>
      <c r="P26" s="3738"/>
      <c r="Q26" s="1340"/>
      <c r="R26" s="701"/>
      <c r="S26" s="702"/>
      <c r="T26" s="701"/>
      <c r="U26" s="702"/>
      <c r="V26" s="701"/>
      <c r="W26" s="702"/>
      <c r="X26" s="703"/>
      <c r="Y26" s="3738"/>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3"/>
      <c r="M27" s="2707"/>
      <c r="N27" s="2707"/>
      <c r="O27" s="2765"/>
      <c r="P27" s="3738"/>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38"/>
      <c r="Z27" s="1353" t="str">
        <f t="shared" ref="Z27:Z40" si="13">Q27</f>
        <v>临街状况</v>
      </c>
      <c r="AA27" s="1350">
        <f t="shared" si="3"/>
        <v>1</v>
      </c>
      <c r="AB27" s="1350">
        <f t="shared" si="4"/>
        <v>1</v>
      </c>
      <c r="AC27" s="1350">
        <f t="shared" si="5"/>
        <v>1</v>
      </c>
    </row>
    <row r="28" spans="1:29" ht="27">
      <c r="A28" s="379"/>
      <c r="B28" s="581" t="s">
        <v>1812</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3"/>
      <c r="M28" s="2707"/>
      <c r="N28" s="2707"/>
      <c r="O28" s="2765"/>
      <c r="P28" s="3738"/>
      <c r="Q28" s="1349" t="str">
        <f t="shared" si="8"/>
        <v>毗邻道路的类型与等级</v>
      </c>
      <c r="R28" s="705" t="s">
        <v>14</v>
      </c>
      <c r="S28" s="706">
        <f t="shared" si="10"/>
        <v>100</v>
      </c>
      <c r="T28" s="705" t="s">
        <v>14</v>
      </c>
      <c r="U28" s="706">
        <f t="shared" si="11"/>
        <v>100</v>
      </c>
      <c r="V28" s="705" t="s">
        <v>14</v>
      </c>
      <c r="W28" s="706">
        <f t="shared" si="12"/>
        <v>100</v>
      </c>
      <c r="X28" s="1352"/>
      <c r="Y28" s="3738"/>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3"/>
      <c r="M29" s="2707"/>
      <c r="N29" s="2707"/>
      <c r="O29" s="2765"/>
      <c r="P29" s="3738"/>
      <c r="Q29" s="1349"/>
      <c r="R29" s="705"/>
      <c r="S29" s="706"/>
      <c r="T29" s="705"/>
      <c r="U29" s="706"/>
      <c r="V29" s="705"/>
      <c r="W29" s="706"/>
      <c r="X29" s="1352"/>
      <c r="Y29" s="3738"/>
      <c r="Z29" s="1353"/>
      <c r="AA29" s="1350">
        <v>1</v>
      </c>
      <c r="AB29" s="1350">
        <v>1</v>
      </c>
      <c r="AC29" s="1350">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3"/>
      <c r="M30" s="2707"/>
      <c r="N30" s="2707"/>
      <c r="O30" s="2765"/>
      <c r="P30" s="3738"/>
      <c r="Q30" s="1349" t="str">
        <f t="shared" si="8"/>
        <v>土地级别</v>
      </c>
      <c r="R30" s="705" t="s">
        <v>14</v>
      </c>
      <c r="S30" s="706">
        <f t="shared" si="10"/>
        <v>100</v>
      </c>
      <c r="T30" s="705" t="s">
        <v>14</v>
      </c>
      <c r="U30" s="706">
        <f t="shared" si="11"/>
        <v>100</v>
      </c>
      <c r="V30" s="705" t="s">
        <v>14</v>
      </c>
      <c r="W30" s="706">
        <f t="shared" si="12"/>
        <v>100</v>
      </c>
      <c r="X30" s="1352"/>
      <c r="Y30" s="3738"/>
      <c r="Z30" s="1353" t="str">
        <f t="shared" si="13"/>
        <v>土地级别</v>
      </c>
      <c r="AA30" s="1350">
        <f t="shared" si="3"/>
        <v>1</v>
      </c>
      <c r="AB30" s="1350">
        <f t="shared" si="4"/>
        <v>1</v>
      </c>
      <c r="AC30" s="1350">
        <f t="shared" si="5"/>
        <v>1</v>
      </c>
    </row>
    <row r="31" spans="1:29" ht="15">
      <c r="A31" s="358"/>
      <c r="B31" s="1960">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3"/>
      <c r="M31" s="2707"/>
      <c r="N31" s="2707"/>
      <c r="O31" s="2765"/>
      <c r="P31" s="3738"/>
      <c r="Q31" s="1349">
        <f t="shared" si="8"/>
        <v>111</v>
      </c>
      <c r="R31" s="705" t="s">
        <v>14</v>
      </c>
      <c r="S31" s="706">
        <f t="shared" si="10"/>
        <v>100</v>
      </c>
      <c r="T31" s="705" t="s">
        <v>14</v>
      </c>
      <c r="U31" s="706">
        <f t="shared" si="11"/>
        <v>100</v>
      </c>
      <c r="V31" s="705" t="s">
        <v>14</v>
      </c>
      <c r="W31" s="706">
        <f t="shared" si="12"/>
        <v>100</v>
      </c>
      <c r="X31" s="1352"/>
      <c r="Y31" s="3738"/>
      <c r="Z31" s="1353">
        <f t="shared" si="13"/>
        <v>111</v>
      </c>
      <c r="AA31" s="1350">
        <f t="shared" si="3"/>
        <v>1</v>
      </c>
      <c r="AB31" s="1350">
        <f t="shared" si="4"/>
        <v>1</v>
      </c>
      <c r="AC31" s="1350">
        <f t="shared" si="5"/>
        <v>1</v>
      </c>
    </row>
    <row r="32" spans="1:29" ht="15">
      <c r="A32" s="623"/>
      <c r="B32" s="1985">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3"/>
      <c r="M32" s="2707"/>
      <c r="N32" s="2707"/>
      <c r="O32" s="2765"/>
      <c r="P32" s="3739" t="s">
        <v>1693</v>
      </c>
      <c r="Q32" s="1349">
        <f t="shared" si="8"/>
        <v>111</v>
      </c>
      <c r="R32" s="705" t="s">
        <v>14</v>
      </c>
      <c r="S32" s="706">
        <f t="shared" si="10"/>
        <v>100</v>
      </c>
      <c r="T32" s="705" t="s">
        <v>14</v>
      </c>
      <c r="U32" s="706">
        <f t="shared" si="11"/>
        <v>100</v>
      </c>
      <c r="V32" s="705" t="s">
        <v>14</v>
      </c>
      <c r="W32" s="706">
        <f t="shared" si="12"/>
        <v>100</v>
      </c>
      <c r="X32" s="1352"/>
      <c r="Y32" s="3740" t="s">
        <v>1693</v>
      </c>
      <c r="Z32" s="1353">
        <f t="shared" si="13"/>
        <v>111</v>
      </c>
      <c r="AA32" s="1350">
        <f t="shared" si="3"/>
        <v>1</v>
      </c>
      <c r="AB32" s="1350">
        <f t="shared" si="4"/>
        <v>1</v>
      </c>
      <c r="AC32" s="1350">
        <f t="shared" si="5"/>
        <v>1</v>
      </c>
    </row>
    <row r="33" spans="1:31" s="422" customFormat="1" ht="15.75" thickBot="1">
      <c r="A33" s="624"/>
      <c r="B33" s="1986">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2"/>
      <c r="M33" s="2714"/>
      <c r="N33" s="2714"/>
      <c r="O33" s="2766"/>
      <c r="P33" s="3740"/>
      <c r="Q33" s="1349">
        <f t="shared" si="8"/>
        <v>111</v>
      </c>
      <c r="R33" s="708" t="s">
        <v>14</v>
      </c>
      <c r="S33" s="709">
        <f t="shared" si="10"/>
        <v>100</v>
      </c>
      <c r="T33" s="708" t="s">
        <v>14</v>
      </c>
      <c r="U33" s="709">
        <f t="shared" si="11"/>
        <v>100</v>
      </c>
      <c r="V33" s="708" t="s">
        <v>14</v>
      </c>
      <c r="W33" s="709">
        <f t="shared" si="12"/>
        <v>100</v>
      </c>
      <c r="X33" s="710"/>
      <c r="Y33" s="3740"/>
      <c r="Z33" s="711">
        <f t="shared" si="13"/>
        <v>111</v>
      </c>
      <c r="AA33" s="1350">
        <f t="shared" si="3"/>
        <v>1</v>
      </c>
      <c r="AB33" s="1350">
        <f t="shared" si="4"/>
        <v>1</v>
      </c>
      <c r="AC33" s="1350">
        <f t="shared" si="5"/>
        <v>1</v>
      </c>
    </row>
    <row r="34" spans="1:31" ht="15">
      <c r="A34" s="391" t="s">
        <v>1691</v>
      </c>
      <c r="B34" s="407" t="s">
        <v>1871</v>
      </c>
      <c r="C34" s="627">
        <f>'数据-基础表'!A3</f>
        <v>53629.25</v>
      </c>
      <c r="D34" s="418">
        <v>100</v>
      </c>
      <c r="E34" s="627" t="e">
        <f>#REF!</f>
        <v>#REF!</v>
      </c>
      <c r="F34" s="418" t="e">
        <f>LOOKUP(E34,108:108,109:109)-LOOKUP(C34,108:108,109:109)+100</f>
        <v>#REF!</v>
      </c>
      <c r="G34" s="627" t="e">
        <f>#REF!</f>
        <v>#REF!</v>
      </c>
      <c r="H34" s="418" t="e">
        <f>LOOKUP(G34,108:108,109:109)-LOOKUP(C34,108:108,109:109)+100</f>
        <v>#REF!</v>
      </c>
      <c r="I34" s="479" t="e">
        <f>#REF!</f>
        <v>#REF!</v>
      </c>
      <c r="J34" s="418" t="e">
        <f>LOOKUP(I34,108:108,109:109)-LOOKUP(C34,108:108,109:109)+100</f>
        <v>#REF!</v>
      </c>
      <c r="K34" s="562"/>
      <c r="L34" s="2713"/>
      <c r="M34" s="2707"/>
      <c r="N34" s="2707"/>
      <c r="O34" s="2765"/>
      <c r="P34" s="3740"/>
      <c r="Q34" s="1349" t="str">
        <f>B34</f>
        <v>宗地面积</v>
      </c>
      <c r="R34" s="705" t="s">
        <v>14</v>
      </c>
      <c r="S34" s="706" t="e">
        <f t="shared" si="10"/>
        <v>#REF!</v>
      </c>
      <c r="T34" s="705" t="s">
        <v>14</v>
      </c>
      <c r="U34" s="706" t="e">
        <f t="shared" si="11"/>
        <v>#REF!</v>
      </c>
      <c r="V34" s="705" t="s">
        <v>14</v>
      </c>
      <c r="W34" s="706" t="e">
        <f t="shared" si="12"/>
        <v>#REF!</v>
      </c>
      <c r="X34" s="1352"/>
      <c r="Y34" s="3740"/>
      <c r="Z34" s="1353" t="str">
        <f t="shared" si="13"/>
        <v>宗地面积</v>
      </c>
      <c r="AA34" s="1350" t="e">
        <f t="shared" si="3"/>
        <v>#REF!</v>
      </c>
      <c r="AB34" s="1350" t="e">
        <f t="shared" si="4"/>
        <v>#REF!</v>
      </c>
      <c r="AC34" s="1350" t="e">
        <f t="shared" si="5"/>
        <v>#REF!</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3"/>
      <c r="M35" s="2707"/>
      <c r="N35" s="2707"/>
      <c r="O35" s="2765"/>
      <c r="P35" s="3740"/>
      <c r="Q35" s="1349" t="str">
        <f t="shared" ref="Q35:Q40" si="14">B35</f>
        <v>宗地形状</v>
      </c>
      <c r="R35" s="705" t="s">
        <v>14</v>
      </c>
      <c r="S35" s="706">
        <f t="shared" si="10"/>
        <v>100</v>
      </c>
      <c r="T35" s="705" t="s">
        <v>14</v>
      </c>
      <c r="U35" s="706">
        <f t="shared" si="11"/>
        <v>100</v>
      </c>
      <c r="V35" s="705" t="s">
        <v>14</v>
      </c>
      <c r="W35" s="706">
        <f t="shared" si="12"/>
        <v>100</v>
      </c>
      <c r="X35" s="1352"/>
      <c r="Y35" s="3740"/>
      <c r="Z35" s="1353" t="str">
        <f t="shared" si="13"/>
        <v>宗地形状</v>
      </c>
      <c r="AA35" s="1350">
        <f t="shared" si="3"/>
        <v>1</v>
      </c>
      <c r="AB35" s="1350">
        <f t="shared" si="4"/>
        <v>1</v>
      </c>
      <c r="AC35" s="1350">
        <f t="shared" si="5"/>
        <v>1</v>
      </c>
    </row>
    <row r="36" spans="1:31" s="108" customFormat="1" ht="15">
      <c r="A36" s="424"/>
      <c r="B36" s="375" t="s">
        <v>1874</v>
      </c>
      <c r="C36" s="1973" t="s">
        <v>3454</v>
      </c>
      <c r="D36" s="127">
        <v>100</v>
      </c>
      <c r="E36" s="1973" t="s">
        <v>3462</v>
      </c>
      <c r="F36" s="386">
        <f>SUMIF(112:112,E36,113:113)-SUMIF(112:112,C36,113:113)+100</f>
        <v>98</v>
      </c>
      <c r="G36" s="1973" t="s">
        <v>3462</v>
      </c>
      <c r="H36" s="386">
        <f>SUMIF(112:112,G36,113:113)-SUMIF(112:112,C36,113:113)+100</f>
        <v>98</v>
      </c>
      <c r="I36" s="1973" t="s">
        <v>3462</v>
      </c>
      <c r="J36" s="386">
        <f>SUMIF(112:112,I36,113:113)-SUMIF(112:112,C36,113:113)+100</f>
        <v>98</v>
      </c>
      <c r="K36" s="561">
        <v>0.5</v>
      </c>
      <c r="L36" s="2708"/>
      <c r="M36" s="2709"/>
      <c r="N36" s="2709"/>
      <c r="O36" s="2763"/>
      <c r="P36" s="3740"/>
      <c r="Q36" s="1349" t="str">
        <f t="shared" si="14"/>
        <v>宗地开发程度</v>
      </c>
      <c r="R36" s="701" t="s">
        <v>14</v>
      </c>
      <c r="S36" s="702">
        <f t="shared" si="10"/>
        <v>98</v>
      </c>
      <c r="T36" s="701" t="s">
        <v>14</v>
      </c>
      <c r="U36" s="702">
        <f t="shared" si="11"/>
        <v>98</v>
      </c>
      <c r="V36" s="701" t="s">
        <v>14</v>
      </c>
      <c r="W36" s="702">
        <f t="shared" si="12"/>
        <v>98</v>
      </c>
      <c r="X36" s="703"/>
      <c r="Y36" s="3740"/>
      <c r="Z36" s="52" t="str">
        <f t="shared" si="13"/>
        <v>宗地开发程度</v>
      </c>
      <c r="AA36" s="704">
        <f t="shared" si="3"/>
        <v>1.0204081632653061</v>
      </c>
      <c r="AB36" s="704">
        <f t="shared" si="4"/>
        <v>1.0204081632653061</v>
      </c>
      <c r="AC36" s="704">
        <f t="shared" si="5"/>
        <v>1.0204081632653061</v>
      </c>
    </row>
    <row r="37" spans="1:31" ht="15">
      <c r="A37" s="423"/>
      <c r="B37" s="375" t="s">
        <v>1875</v>
      </c>
      <c r="C37" s="1902" t="s">
        <v>3452</v>
      </c>
      <c r="D37" s="386">
        <v>100</v>
      </c>
      <c r="E37" s="1902" t="s">
        <v>3452</v>
      </c>
      <c r="F37" s="386">
        <f>SUMIF(114:114,E37,115:115)-SUMIF(114:114,C37,115:115)+100</f>
        <v>100</v>
      </c>
      <c r="G37" s="1902" t="s">
        <v>3452</v>
      </c>
      <c r="H37" s="386">
        <f>SUMIF(114:114,G37,115:115)-SUMIF(114:114,C37,115:115)+100</f>
        <v>100</v>
      </c>
      <c r="I37" s="1902" t="s">
        <v>3452</v>
      </c>
      <c r="J37" s="386">
        <f>SUMIF(114:114,I37,115:115)-SUMIF(114:114,C37,115:115)+100</f>
        <v>100</v>
      </c>
      <c r="K37" s="561"/>
      <c r="L37" s="2713"/>
      <c r="M37" s="2707"/>
      <c r="N37" s="2707"/>
      <c r="O37" s="2765"/>
      <c r="P37" s="3740" t="s">
        <v>1693</v>
      </c>
      <c r="Q37" s="1349" t="str">
        <f t="shared" si="14"/>
        <v>工程地质条件</v>
      </c>
      <c r="R37" s="705" t="s">
        <v>14</v>
      </c>
      <c r="S37" s="706">
        <f t="shared" si="10"/>
        <v>100</v>
      </c>
      <c r="T37" s="705" t="s">
        <v>14</v>
      </c>
      <c r="U37" s="706">
        <f t="shared" si="11"/>
        <v>100</v>
      </c>
      <c r="V37" s="705" t="s">
        <v>14</v>
      </c>
      <c r="W37" s="706">
        <f t="shared" si="12"/>
        <v>100</v>
      </c>
      <c r="X37" s="1352"/>
      <c r="Y37" s="3740" t="s">
        <v>1693</v>
      </c>
      <c r="Z37" s="1353" t="str">
        <f t="shared" si="13"/>
        <v>工程地质条件</v>
      </c>
      <c r="AA37" s="1350">
        <f t="shared" si="3"/>
        <v>1</v>
      </c>
      <c r="AB37" s="1350">
        <f t="shared" si="4"/>
        <v>1</v>
      </c>
      <c r="AC37" s="1350">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3"/>
      <c r="M38" s="2707"/>
      <c r="N38" s="2707"/>
      <c r="O38" s="2765"/>
      <c r="P38" s="3740"/>
      <c r="Q38" s="1349">
        <f t="shared" si="14"/>
        <v>111</v>
      </c>
      <c r="R38" s="705" t="s">
        <v>14</v>
      </c>
      <c r="S38" s="706">
        <f t="shared" si="10"/>
        <v>100</v>
      </c>
      <c r="T38" s="705" t="s">
        <v>14</v>
      </c>
      <c r="U38" s="706">
        <f t="shared" si="11"/>
        <v>100</v>
      </c>
      <c r="V38" s="705" t="s">
        <v>14</v>
      </c>
      <c r="W38" s="706">
        <f t="shared" si="12"/>
        <v>100</v>
      </c>
      <c r="X38" s="1352"/>
      <c r="Y38" s="3740"/>
      <c r="Z38" s="1353">
        <f t="shared" si="13"/>
        <v>111</v>
      </c>
      <c r="AA38" s="1350">
        <f t="shared" si="3"/>
        <v>1</v>
      </c>
      <c r="AB38" s="1350">
        <f t="shared" si="4"/>
        <v>1</v>
      </c>
      <c r="AC38" s="1350">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3"/>
      <c r="M39" s="2707"/>
      <c r="N39" s="2707"/>
      <c r="O39" s="2765"/>
      <c r="P39" s="3740"/>
      <c r="Q39" s="1349">
        <f t="shared" si="14"/>
        <v>111</v>
      </c>
      <c r="R39" s="705" t="s">
        <v>14</v>
      </c>
      <c r="S39" s="706">
        <f t="shared" si="10"/>
        <v>100</v>
      </c>
      <c r="T39" s="705" t="s">
        <v>14</v>
      </c>
      <c r="U39" s="706">
        <f t="shared" si="11"/>
        <v>100</v>
      </c>
      <c r="V39" s="705" t="s">
        <v>14</v>
      </c>
      <c r="W39" s="706">
        <f t="shared" si="12"/>
        <v>100</v>
      </c>
      <c r="X39" s="1352"/>
      <c r="Y39" s="3740"/>
      <c r="Z39" s="1353">
        <f t="shared" si="13"/>
        <v>111</v>
      </c>
      <c r="AA39" s="1350">
        <f t="shared" si="3"/>
        <v>1</v>
      </c>
      <c r="AB39" s="1350">
        <f t="shared" si="4"/>
        <v>1</v>
      </c>
      <c r="AC39" s="1350">
        <f t="shared" si="5"/>
        <v>1</v>
      </c>
    </row>
    <row r="40" spans="1:31" s="422" customFormat="1" ht="15.75" thickBot="1">
      <c r="A40" s="419"/>
      <c r="B40" s="1134">
        <v>111</v>
      </c>
      <c r="C40" s="1974"/>
      <c r="D40" s="128">
        <v>100</v>
      </c>
      <c r="E40" s="622"/>
      <c r="F40" s="389">
        <f>SUMIF(120:120,E40,121:121)-SUMIF(120:120,C40,121:121)+100</f>
        <v>100</v>
      </c>
      <c r="G40" s="622"/>
      <c r="H40" s="389">
        <f>SUMIF(120:120,G40,121:121)-SUMIF(120:120,C40,121:121)+100</f>
        <v>100</v>
      </c>
      <c r="I40" s="498"/>
      <c r="J40" s="389">
        <f>SUMIF(120:120,I40,121:121)-SUMIF(120:120,C40,121:121)+100</f>
        <v>100</v>
      </c>
      <c r="K40" s="629"/>
      <c r="L40" s="2712"/>
      <c r="M40" s="2714"/>
      <c r="N40" s="2714"/>
      <c r="O40" s="2766"/>
      <c r="P40" s="3740"/>
      <c r="Q40" s="1349">
        <f t="shared" si="14"/>
        <v>111</v>
      </c>
      <c r="R40" s="708" t="s">
        <v>14</v>
      </c>
      <c r="S40" s="709">
        <f t="shared" si="10"/>
        <v>100</v>
      </c>
      <c r="T40" s="708" t="s">
        <v>14</v>
      </c>
      <c r="U40" s="709">
        <f t="shared" si="11"/>
        <v>100</v>
      </c>
      <c r="V40" s="708" t="s">
        <v>14</v>
      </c>
      <c r="W40" s="709">
        <f t="shared" si="12"/>
        <v>100</v>
      </c>
      <c r="X40" s="710"/>
      <c r="Y40" s="3740"/>
      <c r="Z40" s="711">
        <f t="shared" si="13"/>
        <v>111</v>
      </c>
      <c r="AA40" s="1350">
        <f t="shared" si="3"/>
        <v>1</v>
      </c>
      <c r="AB40" s="1350">
        <f t="shared" si="4"/>
        <v>1</v>
      </c>
      <c r="AC40" s="1350">
        <f t="shared" si="5"/>
        <v>1</v>
      </c>
    </row>
    <row r="41" spans="1:31" ht="15">
      <c r="A41" s="430" t="s">
        <v>1841</v>
      </c>
      <c r="B41" s="1975" t="s">
        <v>3463</v>
      </c>
      <c r="C41" s="630" t="s">
        <v>0</v>
      </c>
      <c r="D41" s="432"/>
      <c r="E41" s="433" t="e">
        <f>#REF!</f>
        <v>#REF!</v>
      </c>
      <c r="F41" s="434"/>
      <c r="G41" s="435" t="e">
        <f>#REF!</f>
        <v>#REF!</v>
      </c>
      <c r="H41" s="436"/>
      <c r="I41" s="433" t="e">
        <f>#REF!</f>
        <v>#REF!</v>
      </c>
      <c r="J41" s="436"/>
      <c r="K41" s="714"/>
      <c r="L41" s="2715"/>
      <c r="M41" s="2707"/>
      <c r="N41" s="2707"/>
      <c r="O41" s="2716"/>
      <c r="P41" s="3722" t="str">
        <f>A41</f>
        <v>成交单价</v>
      </c>
      <c r="Q41" s="3722"/>
      <c r="R41" s="3735" t="e">
        <f>E41</f>
        <v>#REF!</v>
      </c>
      <c r="S41" s="3735"/>
      <c r="T41" s="3735" t="e">
        <f>G41</f>
        <v>#REF!</v>
      </c>
      <c r="U41" s="3735"/>
      <c r="V41" s="3735" t="e">
        <f>I41</f>
        <v>#REF!</v>
      </c>
      <c r="W41" s="3735"/>
      <c r="X41" s="690"/>
      <c r="Y41" s="712"/>
      <c r="Z41" s="690"/>
      <c r="AA41" s="690"/>
      <c r="AB41" s="690"/>
      <c r="AC41" s="690"/>
    </row>
    <row r="42" spans="1:31" ht="15.75" thickBot="1">
      <c r="A42" s="437" t="s">
        <v>1790</v>
      </c>
      <c r="B42" s="631"/>
      <c r="C42" s="440" t="e">
        <f>R43</f>
        <v>#REF!</v>
      </c>
      <c r="D42" s="2310" t="s">
        <v>2134</v>
      </c>
      <c r="E42" s="440" t="e">
        <f>R42</f>
        <v>#REF!</v>
      </c>
      <c r="F42" s="2311"/>
      <c r="G42" s="439" t="e">
        <f>T42</f>
        <v>#REF!</v>
      </c>
      <c r="H42" s="2311"/>
      <c r="I42" s="440" t="e">
        <f>V42</f>
        <v>#REF!</v>
      </c>
      <c r="J42" s="2311"/>
      <c r="K42" s="2313">
        <f>F42+H42+J42</f>
        <v>0</v>
      </c>
      <c r="L42" s="2715"/>
      <c r="M42" s="2707"/>
      <c r="N42" s="2707"/>
      <c r="O42" s="2716"/>
      <c r="P42" s="3722" t="str">
        <f>A42</f>
        <v>比较价值（元/平方米）</v>
      </c>
      <c r="Q42" s="3722"/>
      <c r="R42" s="3741" t="e">
        <f>ROUND(PRODUCT(R41,AA7:AA40),0)</f>
        <v>#REF!</v>
      </c>
      <c r="S42" s="3741"/>
      <c r="T42" s="3741" t="e">
        <f>ROUND(PRODUCT(T41,AB7:AB40),0)</f>
        <v>#REF!</v>
      </c>
      <c r="U42" s="3741"/>
      <c r="V42" s="3741" t="e">
        <f>ROUND(PRODUCT(V41,AC7:AC40),0)</f>
        <v>#REF!</v>
      </c>
      <c r="W42" s="3741"/>
      <c r="X42" s="690"/>
      <c r="Y42" s="690"/>
      <c r="Z42" s="690"/>
      <c r="AA42" s="690"/>
      <c r="AB42" s="690"/>
      <c r="AC42" s="690"/>
    </row>
    <row r="43" spans="1:31" ht="15.75" thickBot="1">
      <c r="A43" s="441" t="s">
        <v>1791</v>
      </c>
      <c r="B43" s="442"/>
      <c r="C43" s="443" t="e">
        <f>R43</f>
        <v>#REF!</v>
      </c>
      <c r="D43" s="443"/>
      <c r="E43" s="443"/>
      <c r="F43" s="443"/>
      <c r="G43" s="443"/>
      <c r="H43" s="443"/>
      <c r="I43" s="443"/>
      <c r="J43" s="443"/>
      <c r="K43" s="715"/>
      <c r="L43" s="2715"/>
      <c r="M43" s="2707"/>
      <c r="N43" s="2707"/>
      <c r="O43" s="2716"/>
      <c r="P43" s="3742" t="str">
        <f>A43</f>
        <v>估价对象XX用房的比较价值（楼面单价，元/平方米）</v>
      </c>
      <c r="Q43" s="3743"/>
      <c r="R43" s="3744" t="e">
        <f>ROUND(IF(D42="简单平均",AVERAGE(R42:W42),R42*F42+T42*H42+V42*J42),0)</f>
        <v>#REF!</v>
      </c>
      <c r="S43" s="3744"/>
      <c r="T43" s="3744"/>
      <c r="U43" s="3744"/>
      <c r="V43" s="3744"/>
      <c r="W43" s="3744"/>
      <c r="X43" s="690"/>
      <c r="Y43" s="690"/>
      <c r="Z43" s="690"/>
      <c r="AA43" s="690"/>
      <c r="AB43" s="690"/>
      <c r="AC43" s="690"/>
    </row>
    <row r="44" spans="1:31">
      <c r="A44" s="2716"/>
      <c r="B44" s="2716"/>
      <c r="C44" s="2716" t="e">
        <f>B2/('数据-汇总表'!D3/666.67)</f>
        <v>#REF!</v>
      </c>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6" t="s">
        <v>1792</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6" t="s">
        <v>1793</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51" customFormat="1" ht="13.5" customHeight="1">
      <c r="A48" s="2719"/>
      <c r="B48" s="2719"/>
      <c r="C48" s="446" t="s">
        <v>1794</v>
      </c>
      <c r="D48" s="450"/>
      <c r="E48" s="448" t="e">
        <f>IF(E41&lt;G41,G41/E41-1,E41/G41-1)</f>
        <v>#REF!</v>
      </c>
      <c r="F48" s="449" t="e">
        <f>IF(OR(E48&gt;=0.3,E48&lt;=-0.3),"超过30%","")</f>
        <v>#REF!</v>
      </c>
      <c r="G48" s="448" t="e">
        <f>IF(G41&lt;I41,I41/G41-1,G41/I41-1)</f>
        <v>#REF!</v>
      </c>
      <c r="H48" s="449" t="e">
        <f>IF(OR(G48&gt;=0.3,G48&lt;=-0.3),"超过30%","")</f>
        <v>#REF!</v>
      </c>
      <c r="I48" s="448" t="e">
        <f>IF(I41&lt;E41,E41/I41-1,I41/E41-1)</f>
        <v>#REF!</v>
      </c>
      <c r="J48" s="449" t="e">
        <f>IF(OR(I48&gt;=0.3,I48&lt;=-0.3),"超过30%","")</f>
        <v>#REF!</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51" customFormat="1" ht="15" thickBot="1">
      <c r="A49" s="2719"/>
      <c r="B49" s="2722"/>
      <c r="C49" s="693"/>
      <c r="D49" s="691"/>
      <c r="E49" s="691"/>
      <c r="F49" s="691"/>
      <c r="G49" s="691"/>
      <c r="H49" s="691"/>
      <c r="I49" s="691"/>
      <c r="J49" s="691"/>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2" t="s">
        <v>1878</v>
      </c>
      <c r="B50" s="633" t="s">
        <v>1879</v>
      </c>
      <c r="C50" s="1976" t="s">
        <v>1880</v>
      </c>
      <c r="D50" s="1977" t="s">
        <v>1881</v>
      </c>
      <c r="E50" s="634" t="s">
        <v>1882</v>
      </c>
      <c r="F50" s="635" t="s">
        <v>1883</v>
      </c>
      <c r="G50" s="3723" t="s">
        <v>1884</v>
      </c>
      <c r="H50" s="3745"/>
      <c r="I50" s="1353" t="s">
        <v>1919</v>
      </c>
      <c r="J50" s="1353">
        <f>项目基本情况!F35</f>
        <v>0</v>
      </c>
      <c r="K50" s="1979" t="s">
        <v>1886</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40" customFormat="1">
      <c r="A51" s="636" t="s">
        <v>1887</v>
      </c>
      <c r="B51" s="637" t="e">
        <f>C43</f>
        <v>#REF!</v>
      </c>
      <c r="C51" s="638">
        <v>1</v>
      </c>
      <c r="D51" s="944">
        <v>1</v>
      </c>
      <c r="E51" s="638">
        <f>'数据-汇总表'!E8+'数据-汇总表'!E9</f>
        <v>107119.92</v>
      </c>
      <c r="F51" s="639" t="e">
        <f t="shared" ref="F51:F60" si="15">ROUND(B51*E51/10000,0)</f>
        <v>#REF!</v>
      </c>
      <c r="G51" s="3746"/>
      <c r="H51" s="3722"/>
      <c r="I51" s="773">
        <v>1</v>
      </c>
      <c r="J51" s="773">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40" customFormat="1">
      <c r="A52" s="641" t="s">
        <v>1888</v>
      </c>
      <c r="B52" s="218" t="e">
        <f>ROUND($C$43*C52*D52,0)</f>
        <v>#REF!</v>
      </c>
      <c r="C52" s="171">
        <f t="shared" ref="C52:C60" si="16">IF($C$50="北京市系数",I52,J52)</f>
        <v>0.5</v>
      </c>
      <c r="D52" s="945">
        <v>0.25</v>
      </c>
      <c r="E52" s="642"/>
      <c r="F52" s="639" t="e">
        <f t="shared" si="15"/>
        <v>#REF!</v>
      </c>
      <c r="G52" s="2997" t="s">
        <v>1889</v>
      </c>
      <c r="H52" s="887" t="str">
        <f>项目基本情况!B37</f>
        <v>九级</v>
      </c>
      <c r="I52" s="773">
        <f>SUMIF(修正!A57:A68,H52,修正!B57:B68)</f>
        <v>0.5</v>
      </c>
      <c r="J52" s="774"/>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40" customFormat="1">
      <c r="A53" s="641" t="s">
        <v>1890</v>
      </c>
      <c r="B53" s="218" t="e">
        <f t="shared" ref="B53:B60" si="17">ROUND($C$43*C53*D53,0)</f>
        <v>#REF!</v>
      </c>
      <c r="C53" s="171">
        <f t="shared" si="16"/>
        <v>0.2</v>
      </c>
      <c r="D53" s="945">
        <v>0.25</v>
      </c>
      <c r="E53" s="642"/>
      <c r="F53" s="639" t="e">
        <f t="shared" si="15"/>
        <v>#REF!</v>
      </c>
      <c r="G53" s="2998"/>
      <c r="H53" s="887" t="str">
        <f>项目基本情况!B37</f>
        <v>九级</v>
      </c>
      <c r="I53" s="773">
        <f>SUMIF(修正!A57:A68,H53,修正!C57:C68)</f>
        <v>0.2</v>
      </c>
      <c r="J53" s="774"/>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40" customFormat="1">
      <c r="A54" s="641" t="s">
        <v>1891</v>
      </c>
      <c r="B54" s="218" t="e">
        <f t="shared" si="17"/>
        <v>#REF!</v>
      </c>
      <c r="C54" s="171">
        <f t="shared" si="16"/>
        <v>0.2</v>
      </c>
      <c r="D54" s="945">
        <v>0.25</v>
      </c>
      <c r="E54" s="642"/>
      <c r="F54" s="639" t="e">
        <f t="shared" si="15"/>
        <v>#REF!</v>
      </c>
      <c r="G54" s="2998"/>
      <c r="H54" s="887" t="str">
        <f>项目基本情况!B37</f>
        <v>九级</v>
      </c>
      <c r="I54" s="773">
        <f>SUMIF(修正!A57:A68,H54,修正!D57:D68)</f>
        <v>0.2</v>
      </c>
      <c r="J54" s="774"/>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40" customFormat="1" hidden="1">
      <c r="A55" s="641"/>
      <c r="B55" s="218"/>
      <c r="C55" s="171"/>
      <c r="D55" s="945"/>
      <c r="E55" s="642"/>
      <c r="F55" s="639"/>
      <c r="G55" s="2999"/>
      <c r="H55" s="887"/>
      <c r="I55" s="773"/>
      <c r="J55" s="774"/>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40" customFormat="1">
      <c r="A56" s="641" t="s">
        <v>1892</v>
      </c>
      <c r="B56" s="218" t="e">
        <f t="shared" si="17"/>
        <v>#REF!</v>
      </c>
      <c r="C56" s="171">
        <f t="shared" si="16"/>
        <v>0.2</v>
      </c>
      <c r="D56" s="945">
        <v>0.25</v>
      </c>
      <c r="E56" s="217">
        <v>2000</v>
      </c>
      <c r="F56" s="639" t="e">
        <f t="shared" si="15"/>
        <v>#REF!</v>
      </c>
      <c r="G56" s="1980" t="s">
        <v>1893</v>
      </c>
      <c r="H56" s="887" t="str">
        <f>项目基本情况!C37</f>
        <v>九级</v>
      </c>
      <c r="I56" s="773">
        <f>SUMIF(修正!A57:A68,H56,修正!E57:E68)</f>
        <v>0.2</v>
      </c>
      <c r="J56" s="774"/>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40" customFormat="1">
      <c r="A57" s="641" t="s">
        <v>1894</v>
      </c>
      <c r="B57" s="218" t="e">
        <f t="shared" si="17"/>
        <v>#REF!</v>
      </c>
      <c r="C57" s="171">
        <f t="shared" si="16"/>
        <v>0.2</v>
      </c>
      <c r="D57" s="945">
        <v>0.25</v>
      </c>
      <c r="E57" s="217">
        <f>'数据-汇总表'!E12</f>
        <v>8639.4699999999993</v>
      </c>
      <c r="F57" s="639" t="e">
        <f t="shared" si="15"/>
        <v>#REF!</v>
      </c>
      <c r="G57" s="892" t="s">
        <v>21</v>
      </c>
      <c r="H57" s="887" t="str">
        <f>IF(G57="商业",项目基本情况!B37,IF(G57="办公",项目基本情况!C37,IF(G57="住宅",项目基本情况!D37,项目基本情况!E37)))</f>
        <v>九级</v>
      </c>
      <c r="I57" s="773">
        <f>SUMIF(修正!A57:A68,H57,修正!F57:F68)</f>
        <v>0.2</v>
      </c>
      <c r="J57" s="774"/>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40" customFormat="1">
      <c r="A58" s="641" t="s">
        <v>1896</v>
      </c>
      <c r="B58" s="218" t="e">
        <f t="shared" si="17"/>
        <v>#REF!</v>
      </c>
      <c r="C58" s="171">
        <f t="shared" si="16"/>
        <v>0.1</v>
      </c>
      <c r="D58" s="945">
        <v>0.25</v>
      </c>
      <c r="E58" s="3449">
        <f>'数据-汇总表'!G19-E56</f>
        <v>-2000</v>
      </c>
      <c r="F58" s="639" t="e">
        <f t="shared" si="15"/>
        <v>#REF!</v>
      </c>
      <c r="G58" s="892" t="s">
        <v>3480</v>
      </c>
      <c r="H58" s="887" t="str">
        <f>IF(G58="商业",项目基本情况!B37,IF(G58="办公",项目基本情况!C37,IF(G58="住宅",项目基本情况!D37,项目基本情况!E37)))</f>
        <v>九级</v>
      </c>
      <c r="I58" s="773">
        <f>SUMIF(修正!A57:A68,H58,修正!G57:G68)</f>
        <v>0.1</v>
      </c>
      <c r="J58" s="774"/>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40" customFormat="1">
      <c r="A59" s="641" t="s">
        <v>1898</v>
      </c>
      <c r="B59" s="218" t="e">
        <f t="shared" si="17"/>
        <v>#REF!</v>
      </c>
      <c r="C59" s="171">
        <f t="shared" si="16"/>
        <v>0.1</v>
      </c>
      <c r="D59" s="945">
        <v>0.25</v>
      </c>
      <c r="E59" s="217">
        <f>'数据-汇总表'!E14</f>
        <v>0</v>
      </c>
      <c r="F59" s="639" t="e">
        <f t="shared" si="15"/>
        <v>#REF!</v>
      </c>
      <c r="G59" s="1980" t="s">
        <v>1889</v>
      </c>
      <c r="H59" s="887" t="str">
        <f>项目基本情况!B37</f>
        <v>九级</v>
      </c>
      <c r="I59" s="773">
        <f>SUMIF(修正!A57:A68,H59,修正!G57:G68)</f>
        <v>0.1</v>
      </c>
      <c r="J59" s="774"/>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40" customFormat="1" ht="15" thickBot="1">
      <c r="A60" s="641" t="s">
        <v>1899</v>
      </c>
      <c r="B60" s="218" t="e">
        <f t="shared" si="17"/>
        <v>#REF!</v>
      </c>
      <c r="C60" s="171">
        <f t="shared" si="16"/>
        <v>0.1</v>
      </c>
      <c r="D60" s="945">
        <v>0.25</v>
      </c>
      <c r="E60" s="217">
        <f>'数据-汇总表'!E15</f>
        <v>0</v>
      </c>
      <c r="F60" s="639" t="e">
        <f t="shared" si="15"/>
        <v>#REF!</v>
      </c>
      <c r="G60" s="1981" t="s">
        <v>1893</v>
      </c>
      <c r="H60" s="897" t="str">
        <f>项目基本情况!C37</f>
        <v>九级</v>
      </c>
      <c r="I60" s="773">
        <f>SUMIF(修正!A57:A68,H60,修正!G57:G68)</f>
        <v>0.1</v>
      </c>
      <c r="J60" s="774"/>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40" customFormat="1" ht="15" thickBot="1">
      <c r="A61" s="643" t="s">
        <v>1900</v>
      </c>
      <c r="B61" s="644" t="s">
        <v>22</v>
      </c>
      <c r="C61" s="644" t="s">
        <v>23</v>
      </c>
      <c r="D61" s="644" t="s">
        <v>392</v>
      </c>
      <c r="E61" s="644">
        <f>IF(B41="楼面地价",SUM(E51:E60),'数据-汇总表'!D3)</f>
        <v>115759.39</v>
      </c>
      <c r="F61" s="645" t="e">
        <f>IF(B41="楼面地价",SUM(F51:F60),ROUND(C43*E61/10000,0))</f>
        <v>#REF!</v>
      </c>
      <c r="G61" s="939"/>
      <c r="H61" s="939"/>
      <c r="I61" s="939"/>
      <c r="J61" s="939"/>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7"/>
      <c r="B62" s="929"/>
      <c r="C62" s="931"/>
      <c r="D62" s="927"/>
      <c r="E62" s="927"/>
      <c r="F62" s="927"/>
      <c r="G62" s="927"/>
      <c r="H62" s="927"/>
      <c r="I62" s="927"/>
      <c r="J62" s="927"/>
      <c r="K62" s="888"/>
      <c r="L62" s="889"/>
      <c r="M62" s="927"/>
      <c r="N62" s="927"/>
      <c r="O62" s="927"/>
      <c r="P62" s="2716"/>
      <c r="Q62" s="2716"/>
      <c r="R62" s="2716"/>
      <c r="S62" s="2716"/>
      <c r="T62" s="2716"/>
      <c r="U62" s="2716"/>
      <c r="V62" s="2716"/>
      <c r="W62" s="2716"/>
      <c r="X62" s="2716"/>
      <c r="Y62" s="2716"/>
      <c r="Z62" s="2716"/>
      <c r="AA62" s="2716"/>
      <c r="AB62" s="2716"/>
      <c r="AC62" s="2716"/>
      <c r="AD62" s="2716"/>
      <c r="AE62" s="2716"/>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16"/>
      <c r="Q63" s="2716"/>
      <c r="R63" s="2716"/>
      <c r="S63" s="2716"/>
      <c r="T63" s="2716"/>
      <c r="U63" s="2716"/>
      <c r="V63" s="2716"/>
      <c r="W63" s="2716"/>
      <c r="X63" s="2716"/>
      <c r="Y63" s="2716"/>
      <c r="Z63" s="2716"/>
      <c r="AA63" s="2716"/>
      <c r="AB63" s="2716"/>
      <c r="AC63" s="2716"/>
      <c r="AD63" s="2716"/>
      <c r="AE63" s="2716"/>
    </row>
    <row r="64" spans="1:31" ht="21.75" thickBot="1">
      <c r="A64" s="694" t="s">
        <v>1795</v>
      </c>
      <c r="B64" s="690"/>
      <c r="C64" s="695"/>
      <c r="D64" s="695"/>
      <c r="E64" s="695"/>
      <c r="F64" s="696"/>
      <c r="G64" s="696"/>
      <c r="H64" s="695"/>
      <c r="I64" s="695"/>
      <c r="J64" s="695"/>
      <c r="K64" s="697"/>
      <c r="L64" s="698"/>
      <c r="M64" s="695"/>
      <c r="N64" s="695"/>
      <c r="O64" s="940"/>
      <c r="P64" s="2760"/>
      <c r="Q64" s="2730"/>
      <c r="R64" s="2716"/>
      <c r="S64" s="2716"/>
      <c r="T64" s="2716"/>
      <c r="U64" s="2716"/>
      <c r="V64" s="2716"/>
      <c r="W64" s="2716"/>
      <c r="X64" s="2716"/>
      <c r="Y64" s="2716"/>
      <c r="Z64" s="2716"/>
      <c r="AA64" s="2716"/>
      <c r="AB64" s="2716"/>
      <c r="AC64" s="2716"/>
      <c r="AD64" s="2716"/>
      <c r="AE64" s="2716"/>
    </row>
    <row r="65" spans="1:31" s="457" customFormat="1" ht="15">
      <c r="A65" s="1982" t="s">
        <v>1901</v>
      </c>
      <c r="B65" s="1109"/>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7" t="s">
        <v>1920</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4" t="s">
        <v>1713</v>
      </c>
      <c r="B67" s="465"/>
      <c r="C67" s="466"/>
      <c r="D67" s="467"/>
      <c r="E67" s="467"/>
      <c r="F67" s="467"/>
      <c r="G67" s="467"/>
      <c r="H67" s="467"/>
      <c r="I67" s="467"/>
      <c r="J67" s="467"/>
      <c r="K67" s="467"/>
      <c r="L67" s="467"/>
      <c r="M67" s="468"/>
      <c r="N67" s="468"/>
      <c r="O67" s="469"/>
      <c r="P67" s="2730"/>
      <c r="Q67" s="2730"/>
      <c r="R67" s="2652"/>
      <c r="S67" s="2652"/>
      <c r="T67" s="2652"/>
      <c r="U67" s="2652"/>
      <c r="V67" s="2652"/>
      <c r="W67" s="2652"/>
      <c r="X67" s="2652"/>
      <c r="Y67" s="2652"/>
      <c r="Z67" s="2652"/>
      <c r="AA67" s="2652"/>
      <c r="AB67" s="2652"/>
      <c r="AC67" s="2652"/>
      <c r="AD67" s="2652"/>
      <c r="AE67" s="2652"/>
    </row>
    <row r="68" spans="1:31" s="108" customFormat="1" ht="15">
      <c r="A68" s="470" t="s">
        <v>1678</v>
      </c>
      <c r="B68" s="459"/>
      <c r="C68" s="471" t="s">
        <v>1773</v>
      </c>
      <c r="D68" s="472"/>
      <c r="E68" s="472"/>
      <c r="F68" s="472"/>
      <c r="G68" s="472"/>
      <c r="H68" s="472"/>
      <c r="I68" s="472"/>
      <c r="J68" s="472"/>
      <c r="K68" s="472"/>
      <c r="L68" s="473"/>
      <c r="M68" s="474"/>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70"/>
      <c r="B69" s="459"/>
      <c r="C69" s="587">
        <v>100</v>
      </c>
      <c r="D69" s="461"/>
      <c r="E69" s="461"/>
      <c r="F69" s="461"/>
      <c r="G69" s="461"/>
      <c r="H69" s="461"/>
      <c r="I69" s="461"/>
      <c r="J69" s="461"/>
      <c r="K69" s="461"/>
      <c r="L69" s="461"/>
      <c r="M69" s="463"/>
      <c r="N69" s="2743"/>
      <c r="O69" s="2743"/>
      <c r="P69" s="2730"/>
      <c r="Q69" s="2730"/>
      <c r="R69" s="2652"/>
      <c r="S69" s="2652"/>
      <c r="T69" s="2652"/>
      <c r="U69" s="2652"/>
      <c r="V69" s="2652"/>
      <c r="W69" s="2652"/>
      <c r="X69" s="2652"/>
      <c r="Y69" s="2652"/>
      <c r="Z69" s="2652"/>
      <c r="AA69" s="2652"/>
      <c r="AB69" s="2652"/>
      <c r="AC69" s="2652"/>
      <c r="AD69" s="2652"/>
      <c r="AE69" s="2652"/>
    </row>
    <row r="70" spans="1:31">
      <c r="A70" s="476" t="s">
        <v>1716</v>
      </c>
      <c r="B70" s="477" t="s">
        <v>1682</v>
      </c>
      <c r="C70" s="3446" t="s">
        <v>3451</v>
      </c>
      <c r="D70" s="479"/>
      <c r="E70" s="479"/>
      <c r="F70" s="479"/>
      <c r="G70" s="479"/>
      <c r="H70" s="479"/>
      <c r="I70" s="479"/>
      <c r="J70" s="479"/>
      <c r="K70" s="480"/>
      <c r="L70" s="481"/>
      <c r="M70" s="482"/>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3"/>
      <c r="B71" s="484"/>
      <c r="C71" s="485">
        <v>100</v>
      </c>
      <c r="D71" s="485"/>
      <c r="E71" s="485"/>
      <c r="F71" s="485"/>
      <c r="G71" s="485"/>
      <c r="H71" s="485"/>
      <c r="I71" s="485"/>
      <c r="J71" s="485"/>
      <c r="K71" s="485"/>
      <c r="L71" s="485"/>
      <c r="M71" s="486"/>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3"/>
      <c r="B72" s="487" t="s">
        <v>1685</v>
      </c>
      <c r="C72" s="488"/>
      <c r="D72" s="488"/>
      <c r="E72" s="488"/>
      <c r="F72" s="488"/>
      <c r="G72" s="488"/>
      <c r="H72" s="488"/>
      <c r="I72" s="488"/>
      <c r="J72" s="488"/>
      <c r="K72" s="489"/>
      <c r="L72" s="490"/>
      <c r="M72" s="491"/>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3"/>
      <c r="B73" s="492"/>
      <c r="C73" s="493"/>
      <c r="D73" s="493"/>
      <c r="E73" s="493"/>
      <c r="F73" s="493"/>
      <c r="G73" s="493"/>
      <c r="H73" s="493"/>
      <c r="I73" s="493"/>
      <c r="J73" s="493"/>
      <c r="K73" s="493"/>
      <c r="L73" s="493"/>
      <c r="M73" s="494"/>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3"/>
      <c r="B74" s="495" t="s">
        <v>1686</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3"/>
      <c r="B76" s="484"/>
      <c r="C76" s="493">
        <v>100</v>
      </c>
      <c r="D76" s="493">
        <f>IF($B$41="单位面积地价",C76+$K11,C76-$K11)</f>
        <v>95</v>
      </c>
      <c r="E76" s="493">
        <f t="shared" ref="E76:M76" si="23">IF($B$41="单位面积地价",D76+$K11,D76-$K11)</f>
        <v>90</v>
      </c>
      <c r="F76" s="493">
        <f t="shared" si="23"/>
        <v>85</v>
      </c>
      <c r="G76" s="493">
        <f t="shared" si="23"/>
        <v>80</v>
      </c>
      <c r="H76" s="493">
        <f t="shared" si="23"/>
        <v>75</v>
      </c>
      <c r="I76" s="493">
        <f t="shared" si="23"/>
        <v>70</v>
      </c>
      <c r="J76" s="493">
        <f t="shared" si="23"/>
        <v>65</v>
      </c>
      <c r="K76" s="493">
        <f t="shared" si="23"/>
        <v>60</v>
      </c>
      <c r="L76" s="493">
        <f t="shared" si="23"/>
        <v>55</v>
      </c>
      <c r="M76" s="493">
        <f t="shared" si="23"/>
        <v>50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2"/>
      <c r="B77" s="487">
        <f>B12</f>
        <v>111</v>
      </c>
      <c r="C77" s="503"/>
      <c r="D77" s="503"/>
      <c r="E77" s="503"/>
      <c r="F77" s="503"/>
      <c r="G77" s="503"/>
      <c r="H77" s="504"/>
      <c r="I77" s="504"/>
      <c r="J77" s="504"/>
      <c r="K77" s="504"/>
      <c r="L77" s="505"/>
      <c r="M77" s="506"/>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2"/>
      <c r="B78" s="492"/>
      <c r="C78" s="509"/>
      <c r="D78" s="485"/>
      <c r="E78" s="485"/>
      <c r="F78" s="485"/>
      <c r="G78" s="485"/>
      <c r="H78" s="485"/>
      <c r="I78" s="485"/>
      <c r="J78" s="485"/>
      <c r="K78" s="485"/>
      <c r="L78" s="485"/>
      <c r="M78" s="486"/>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2"/>
      <c r="B79" s="487">
        <f>B13</f>
        <v>111</v>
      </c>
      <c r="C79" s="503"/>
      <c r="D79" s="503"/>
      <c r="E79" s="503"/>
      <c r="F79" s="503"/>
      <c r="G79" s="503"/>
      <c r="H79" s="504"/>
      <c r="I79" s="504"/>
      <c r="J79" s="504"/>
      <c r="K79" s="504"/>
      <c r="L79" s="505"/>
      <c r="M79" s="506"/>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2"/>
      <c r="B80" s="492"/>
      <c r="C80" s="509"/>
      <c r="D80" s="509"/>
      <c r="E80" s="509"/>
      <c r="F80" s="509"/>
      <c r="G80" s="509"/>
      <c r="H80" s="511"/>
      <c r="I80" s="511"/>
      <c r="J80" s="511"/>
      <c r="K80" s="511"/>
      <c r="L80" s="511"/>
      <c r="M80" s="512"/>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2"/>
      <c r="B81" s="495">
        <f>B14</f>
        <v>111</v>
      </c>
      <c r="C81" s="472"/>
      <c r="D81" s="472"/>
      <c r="E81" s="472"/>
      <c r="F81" s="472"/>
      <c r="G81" s="472"/>
      <c r="H81" s="513"/>
      <c r="I81" s="513"/>
      <c r="J81" s="513"/>
      <c r="K81" s="513"/>
      <c r="L81" s="514"/>
      <c r="M81" s="515"/>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7"/>
      <c r="B82" s="518"/>
      <c r="C82" s="519"/>
      <c r="D82" s="519"/>
      <c r="E82" s="519"/>
      <c r="F82" s="519"/>
      <c r="G82" s="519"/>
      <c r="H82" s="520"/>
      <c r="I82" s="520"/>
      <c r="J82" s="520"/>
      <c r="K82" s="520"/>
      <c r="L82" s="520"/>
      <c r="M82" s="521"/>
      <c r="N82" s="2746"/>
      <c r="O82" s="2746"/>
      <c r="P82" s="2770"/>
      <c r="Q82" s="2737"/>
      <c r="R82" s="2738"/>
      <c r="S82" s="2738"/>
      <c r="T82" s="2738"/>
      <c r="U82" s="2738"/>
      <c r="V82" s="2738"/>
      <c r="W82" s="2738"/>
      <c r="X82" s="2738"/>
      <c r="Y82" s="2738"/>
      <c r="Z82" s="2738"/>
      <c r="AA82" s="2738"/>
      <c r="AB82" s="2738"/>
      <c r="AC82" s="2738"/>
      <c r="AD82" s="2738"/>
      <c r="AE82" s="2738"/>
    </row>
    <row r="83" spans="1:31">
      <c r="A83" s="476" t="s">
        <v>1687</v>
      </c>
      <c r="B83" s="477" t="s">
        <v>1826</v>
      </c>
      <c r="C83" s="522" t="s">
        <v>1718</v>
      </c>
      <c r="D83" s="522" t="s">
        <v>1719</v>
      </c>
      <c r="E83" s="522" t="s">
        <v>1720</v>
      </c>
      <c r="F83" s="522" t="s">
        <v>1721</v>
      </c>
      <c r="G83" s="522" t="s">
        <v>1722</v>
      </c>
      <c r="H83" s="478"/>
      <c r="I83" s="478"/>
      <c r="J83" s="478"/>
      <c r="K83" s="523"/>
      <c r="L83" s="524"/>
      <c r="M83" s="525"/>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3"/>
      <c r="B84" s="492"/>
      <c r="C84" s="493">
        <v>100</v>
      </c>
      <c r="D84" s="493">
        <f>C84-$K15</f>
        <v>97</v>
      </c>
      <c r="E84" s="493">
        <f>D84-$K15</f>
        <v>94</v>
      </c>
      <c r="F84" s="493">
        <f>E84-$K15</f>
        <v>91</v>
      </c>
      <c r="G84" s="493">
        <f>F84-$K15</f>
        <v>88</v>
      </c>
      <c r="H84" s="493"/>
      <c r="I84" s="493"/>
      <c r="J84" s="493"/>
      <c r="K84" s="493"/>
      <c r="L84" s="493"/>
      <c r="M84" s="494"/>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3"/>
      <c r="B85" s="487" t="s">
        <v>1723</v>
      </c>
      <c r="C85" s="527" t="s">
        <v>1718</v>
      </c>
      <c r="D85" s="527" t="s">
        <v>1719</v>
      </c>
      <c r="E85" s="527" t="s">
        <v>1720</v>
      </c>
      <c r="F85" s="527" t="s">
        <v>1721</v>
      </c>
      <c r="G85" s="527" t="s">
        <v>1722</v>
      </c>
      <c r="H85" s="488"/>
      <c r="I85" s="488"/>
      <c r="J85" s="488"/>
      <c r="K85" s="489"/>
      <c r="L85" s="490"/>
      <c r="M85" s="491"/>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3"/>
      <c r="B86" s="492"/>
      <c r="C86" s="493">
        <v>100</v>
      </c>
      <c r="D86" s="493">
        <f>C86-$K17</f>
        <v>98</v>
      </c>
      <c r="E86" s="493">
        <f>D86-$K17</f>
        <v>96</v>
      </c>
      <c r="F86" s="493">
        <f>E86-$K17</f>
        <v>94</v>
      </c>
      <c r="G86" s="493">
        <f>F86-$K17</f>
        <v>92</v>
      </c>
      <c r="H86" s="493"/>
      <c r="I86" s="493"/>
      <c r="J86" s="493"/>
      <c r="K86" s="493"/>
      <c r="L86" s="493"/>
      <c r="M86" s="494"/>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3"/>
      <c r="B97" s="487" t="s">
        <v>1812</v>
      </c>
      <c r="C97" s="503"/>
      <c r="D97" s="503"/>
      <c r="E97" s="503"/>
      <c r="F97" s="503"/>
      <c r="G97" s="503"/>
      <c r="H97" s="532"/>
      <c r="I97" s="532"/>
      <c r="J97" s="532"/>
      <c r="K97" s="533"/>
      <c r="L97" s="534"/>
      <c r="M97" s="535"/>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3"/>
      <c r="B99" s="487" t="s">
        <v>1870</v>
      </c>
      <c r="C99" s="532"/>
      <c r="D99" s="532"/>
      <c r="E99" s="532"/>
      <c r="F99" s="532"/>
      <c r="G99" s="532"/>
      <c r="H99" s="532"/>
      <c r="I99" s="532"/>
      <c r="J99" s="532"/>
      <c r="K99" s="533"/>
      <c r="L99" s="534"/>
      <c r="M99" s="535"/>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3"/>
      <c r="B101" s="495">
        <f>B31</f>
        <v>111</v>
      </c>
      <c r="C101" s="503"/>
      <c r="D101" s="503"/>
      <c r="E101" s="503"/>
      <c r="F101" s="503"/>
      <c r="G101" s="536"/>
      <c r="H101" s="536"/>
      <c r="I101" s="536"/>
      <c r="J101" s="536"/>
      <c r="K101" s="537"/>
      <c r="L101" s="538"/>
      <c r="M101" s="539"/>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3"/>
      <c r="B102" s="518"/>
      <c r="C102" s="509"/>
      <c r="D102" s="485"/>
      <c r="E102" s="485"/>
      <c r="F102" s="485"/>
      <c r="G102" s="540"/>
      <c r="H102" s="540"/>
      <c r="I102" s="540"/>
      <c r="J102" s="540"/>
      <c r="K102" s="540"/>
      <c r="L102" s="540"/>
      <c r="M102" s="541"/>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3"/>
      <c r="B103" s="487">
        <f>B32</f>
        <v>111</v>
      </c>
      <c r="C103" s="503"/>
      <c r="D103" s="503"/>
      <c r="E103" s="503"/>
      <c r="F103" s="503"/>
      <c r="G103" s="532"/>
      <c r="H103" s="532"/>
      <c r="I103" s="532"/>
      <c r="J103" s="532"/>
      <c r="K103" s="533"/>
      <c r="L103" s="534"/>
      <c r="M103" s="535"/>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3"/>
      <c r="B104" s="492"/>
      <c r="C104" s="509"/>
      <c r="D104" s="509"/>
      <c r="E104" s="509"/>
      <c r="F104" s="509"/>
      <c r="G104" s="485"/>
      <c r="H104" s="485"/>
      <c r="I104" s="485"/>
      <c r="J104" s="485"/>
      <c r="K104" s="485"/>
      <c r="L104" s="485"/>
      <c r="M104" s="486"/>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2"/>
      <c r="B105" s="543">
        <f>B33</f>
        <v>111</v>
      </c>
      <c r="C105" s="472"/>
      <c r="D105" s="472"/>
      <c r="E105" s="472"/>
      <c r="F105" s="472"/>
      <c r="G105" s="544"/>
      <c r="H105" s="544"/>
      <c r="I105" s="544"/>
      <c r="J105" s="545"/>
      <c r="K105" s="545"/>
      <c r="L105" s="546"/>
      <c r="M105" s="547"/>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2"/>
      <c r="B106" s="495"/>
      <c r="C106" s="519"/>
      <c r="D106" s="519"/>
      <c r="E106" s="519"/>
      <c r="F106" s="519"/>
      <c r="G106" s="625"/>
      <c r="H106" s="625"/>
      <c r="I106" s="625"/>
      <c r="J106" s="625"/>
      <c r="K106" s="625"/>
      <c r="L106" s="625"/>
      <c r="M106" s="647"/>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ht="28.5">
      <c r="A107" s="476" t="s">
        <v>1691</v>
      </c>
      <c r="B107" s="477" t="s">
        <v>1910</v>
      </c>
      <c r="C107" s="478" t="str">
        <f t="shared" ref="C107:L107" si="27">C108&amp;"(含)"&amp;"-"&amp;D108</f>
        <v>0(含)-50000</v>
      </c>
      <c r="D107" s="478" t="str">
        <f t="shared" si="27"/>
        <v>50000(含)-100000</v>
      </c>
      <c r="E107" s="478" t="str">
        <f t="shared" si="27"/>
        <v>100000(含)-150000</v>
      </c>
      <c r="F107" s="478" t="str">
        <f t="shared" si="27"/>
        <v>150000(含)-</v>
      </c>
      <c r="G107" s="478" t="str">
        <f t="shared" si="27"/>
        <v>(含)-</v>
      </c>
      <c r="H107" s="478" t="str">
        <f t="shared" si="27"/>
        <v>(含)-</v>
      </c>
      <c r="I107" s="478" t="str">
        <f t="shared" si="27"/>
        <v>(含)-</v>
      </c>
      <c r="J107" s="478" t="str">
        <f t="shared" si="27"/>
        <v>(含)-</v>
      </c>
      <c r="K107" s="1330" t="str">
        <f t="shared" si="27"/>
        <v>(含)-</v>
      </c>
      <c r="L107" s="1330" t="str">
        <f t="shared" si="27"/>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3"/>
      <c r="B108" s="495"/>
      <c r="C108" s="544">
        <v>0</v>
      </c>
      <c r="D108" s="544">
        <v>50000</v>
      </c>
      <c r="E108" s="544">
        <v>100000</v>
      </c>
      <c r="F108" s="544">
        <v>150000</v>
      </c>
      <c r="G108" s="544"/>
      <c r="H108" s="544"/>
      <c r="I108" s="544"/>
      <c r="J108" s="545"/>
      <c r="K108" s="545"/>
      <c r="L108" s="546"/>
      <c r="M108" s="547"/>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3"/>
      <c r="B109" s="492"/>
      <c r="C109" s="519">
        <v>100</v>
      </c>
      <c r="D109" s="540">
        <f>C109-2</f>
        <v>98</v>
      </c>
      <c r="E109" s="540">
        <f t="shared" ref="E109:F109" si="28">D109-2</f>
        <v>96</v>
      </c>
      <c r="F109" s="540">
        <f t="shared" si="28"/>
        <v>94</v>
      </c>
      <c r="G109" s="540"/>
      <c r="H109" s="540"/>
      <c r="I109" s="540"/>
      <c r="J109" s="540"/>
      <c r="K109" s="540"/>
      <c r="L109" s="540"/>
      <c r="M109" s="541"/>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8"/>
      <c r="B110" s="487" t="s">
        <v>1911</v>
      </c>
      <c r="C110" s="3448" t="s">
        <v>3460</v>
      </c>
      <c r="D110" s="532"/>
      <c r="E110" s="532"/>
      <c r="F110" s="532"/>
      <c r="G110" s="532"/>
      <c r="H110" s="532"/>
      <c r="I110" s="532"/>
      <c r="J110" s="532"/>
      <c r="K110" s="533"/>
      <c r="L110" s="534"/>
      <c r="M110" s="535"/>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3"/>
      <c r="B111" s="492"/>
      <c r="C111" s="493">
        <v>100</v>
      </c>
      <c r="D111" s="493">
        <f t="shared" ref="D111:M111" si="29">C111-$K35</f>
        <v>100</v>
      </c>
      <c r="E111" s="493">
        <f t="shared" si="29"/>
        <v>100</v>
      </c>
      <c r="F111" s="493">
        <f t="shared" si="29"/>
        <v>100</v>
      </c>
      <c r="G111" s="493">
        <f t="shared" si="29"/>
        <v>100</v>
      </c>
      <c r="H111" s="493">
        <f t="shared" si="29"/>
        <v>100</v>
      </c>
      <c r="I111" s="493">
        <f t="shared" si="29"/>
        <v>100</v>
      </c>
      <c r="J111" s="493">
        <f t="shared" si="29"/>
        <v>100</v>
      </c>
      <c r="K111" s="493">
        <f t="shared" si="29"/>
        <v>100</v>
      </c>
      <c r="L111" s="493">
        <f t="shared" si="29"/>
        <v>100</v>
      </c>
      <c r="M111" s="494">
        <f t="shared" si="29"/>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2"/>
      <c r="B112" s="487" t="s">
        <v>1913</v>
      </c>
      <c r="C112" s="3447" t="s">
        <v>3455</v>
      </c>
      <c r="D112" s="3447" t="s">
        <v>3456</v>
      </c>
      <c r="E112" s="3447" t="s">
        <v>3457</v>
      </c>
      <c r="F112" s="3447" t="s">
        <v>3458</v>
      </c>
      <c r="G112" s="3447" t="s">
        <v>3459</v>
      </c>
      <c r="H112" s="532"/>
      <c r="I112" s="532"/>
      <c r="J112" s="532"/>
      <c r="K112" s="533"/>
      <c r="L112" s="534"/>
      <c r="M112" s="535"/>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8"/>
      <c r="B114" s="487" t="s">
        <v>1914</v>
      </c>
      <c r="C114" s="3447" t="s">
        <v>3461</v>
      </c>
      <c r="D114" s="503"/>
      <c r="E114" s="532"/>
      <c r="F114" s="532"/>
      <c r="G114" s="532"/>
      <c r="H114" s="532"/>
      <c r="I114" s="532"/>
      <c r="J114" s="532"/>
      <c r="K114" s="533"/>
      <c r="L114" s="534"/>
      <c r="M114" s="535"/>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3"/>
      <c r="B115" s="492"/>
      <c r="C115" s="493">
        <v>100</v>
      </c>
      <c r="D115" s="493">
        <f t="shared" ref="D115:M115" si="31">C115-$K37</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8"/>
      <c r="B116" s="487">
        <f>B38</f>
        <v>111</v>
      </c>
      <c r="C116" s="503"/>
      <c r="D116" s="503"/>
      <c r="E116" s="503"/>
      <c r="F116" s="503"/>
      <c r="G116" s="503"/>
      <c r="H116" s="532"/>
      <c r="I116" s="532"/>
      <c r="J116" s="532"/>
      <c r="K116" s="533"/>
      <c r="L116" s="534"/>
      <c r="M116" s="535"/>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3"/>
      <c r="B117" s="492"/>
      <c r="C117" s="509"/>
      <c r="D117" s="485"/>
      <c r="E117" s="485"/>
      <c r="F117" s="485"/>
      <c r="G117" s="485"/>
      <c r="H117" s="485"/>
      <c r="I117" s="485"/>
      <c r="J117" s="485"/>
      <c r="K117" s="485"/>
      <c r="L117" s="485"/>
      <c r="M117" s="486"/>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8"/>
      <c r="B118" s="487">
        <f>B39</f>
        <v>111</v>
      </c>
      <c r="C118" s="503"/>
      <c r="D118" s="503"/>
      <c r="E118" s="503"/>
      <c r="F118" s="503"/>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3"/>
      <c r="B119" s="492"/>
      <c r="C119" s="509"/>
      <c r="D119" s="509"/>
      <c r="E119" s="509"/>
      <c r="F119" s="509"/>
      <c r="G119" s="485"/>
      <c r="H119" s="485"/>
      <c r="I119" s="485"/>
      <c r="J119" s="485"/>
      <c r="K119" s="485"/>
      <c r="L119" s="485"/>
      <c r="M119" s="486"/>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2"/>
      <c r="B120" s="487">
        <f>B40</f>
        <v>111</v>
      </c>
      <c r="C120" s="472"/>
      <c r="D120" s="472"/>
      <c r="E120" s="472"/>
      <c r="F120" s="472"/>
      <c r="G120" s="504"/>
      <c r="H120" s="504"/>
      <c r="I120" s="504"/>
      <c r="J120" s="504"/>
      <c r="K120" s="504"/>
      <c r="L120" s="505"/>
      <c r="M120" s="506"/>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7"/>
      <c r="B121" s="648"/>
      <c r="C121" s="519"/>
      <c r="D121" s="519"/>
      <c r="E121" s="519"/>
      <c r="F121" s="519"/>
      <c r="G121" s="540"/>
      <c r="H121" s="540"/>
      <c r="I121" s="540"/>
      <c r="J121" s="540"/>
      <c r="K121" s="540"/>
      <c r="L121" s="540"/>
      <c r="M121" s="541"/>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53" priority="18" stopIfTrue="1" operator="containsText" text="超过">
      <formula>NOT(ISERROR(SEARCH("超过",F46)))</formula>
    </cfRule>
  </conditionalFormatting>
  <conditionalFormatting sqref="J48">
    <cfRule type="containsText" dxfId="152" priority="17" stopIfTrue="1" operator="containsText" text="超过">
      <formula>NOT(ISERROR(SEARCH("超过",J48)))</formula>
    </cfRule>
  </conditionalFormatting>
  <conditionalFormatting sqref="H48">
    <cfRule type="containsText" dxfId="151" priority="16" stopIfTrue="1" operator="containsText" text="超过">
      <formula>NOT(ISERROR(SEARCH("超过",H48)))</formula>
    </cfRule>
  </conditionalFormatting>
  <conditionalFormatting sqref="F48">
    <cfRule type="containsText" dxfId="150" priority="15" stopIfTrue="1" operator="containsText" text="超过">
      <formula>NOT(ISERROR(SEARCH("超过",F48)))</formula>
    </cfRule>
  </conditionalFormatting>
  <conditionalFormatting sqref="F47 H47 J47">
    <cfRule type="containsText" dxfId="149" priority="14" stopIfTrue="1" operator="containsText" text="超过">
      <formula>NOT(ISERROR(SEARCH("超过",F47)))</formula>
    </cfRule>
  </conditionalFormatting>
  <conditionalFormatting sqref="E46">
    <cfRule type="expression" dxfId="148" priority="13" stopIfTrue="1">
      <formula>$F$46="超过30%"</formula>
    </cfRule>
  </conditionalFormatting>
  <conditionalFormatting sqref="G48">
    <cfRule type="expression" dxfId="147" priority="12" stopIfTrue="1">
      <formula>$H$48="超过30%"</formula>
    </cfRule>
  </conditionalFormatting>
  <conditionalFormatting sqref="E48">
    <cfRule type="expression" dxfId="146" priority="10" stopIfTrue="1">
      <formula>$F$48="超过30%"</formula>
    </cfRule>
  </conditionalFormatting>
  <conditionalFormatting sqref="G46">
    <cfRule type="expression" dxfId="145" priority="9" stopIfTrue="1">
      <formula>$H$46="超过30%"</formula>
    </cfRule>
  </conditionalFormatting>
  <conditionalFormatting sqref="G47">
    <cfRule type="expression" dxfId="144" priority="8" stopIfTrue="1">
      <formula>$H$47="超过20%"</formula>
    </cfRule>
  </conditionalFormatting>
  <conditionalFormatting sqref="I46">
    <cfRule type="expression" dxfId="143" priority="7" stopIfTrue="1">
      <formula>$J$46="超过30%"</formula>
    </cfRule>
  </conditionalFormatting>
  <conditionalFormatting sqref="I47">
    <cfRule type="expression" dxfId="142" priority="6" stopIfTrue="1">
      <formula>$J$47="超过20%"</formula>
    </cfRule>
  </conditionalFormatting>
  <conditionalFormatting sqref="I48">
    <cfRule type="expression" dxfId="141" priority="5" stopIfTrue="1">
      <formula>$J$48="超过30%"</formula>
    </cfRule>
  </conditionalFormatting>
  <conditionalFormatting sqref="E47">
    <cfRule type="expression" dxfId="140" priority="53" stopIfTrue="1">
      <formula>#REF!+$F$47="超过20%"</formula>
    </cfRule>
  </conditionalFormatting>
  <conditionalFormatting sqref="F42">
    <cfRule type="expression" dxfId="139" priority="4">
      <formula>$D$42="简单平均"</formula>
    </cfRule>
  </conditionalFormatting>
  <conditionalFormatting sqref="H42">
    <cfRule type="expression" dxfId="138" priority="3">
      <formula>$D$42="简单平均"</formula>
    </cfRule>
  </conditionalFormatting>
  <conditionalFormatting sqref="J42">
    <cfRule type="expression" dxfId="137" priority="2">
      <formula>$D$42="简单平均"</formula>
    </cfRule>
  </conditionalFormatting>
  <conditionalFormatting sqref="F7:F40 H7:H40 J7:J40">
    <cfRule type="cellIs" dxfId="13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I16 E16 G16 C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1"/>
  <sheetViews>
    <sheetView workbookViewId="0">
      <pane xSplit="4" ySplit="1" topLeftCell="AM2" activePane="bottomRight" state="frozen"/>
      <selection pane="topRight" activeCell="E1" sqref="E1"/>
      <selection pane="bottomLeft" activeCell="A2" sqref="A2"/>
      <selection pane="bottomRight" activeCell="AP11" sqref="AP11"/>
    </sheetView>
  </sheetViews>
  <sheetFormatPr defaultRowHeight="14.25"/>
  <cols>
    <col min="1" max="1" width="20" style="3444" customWidth="1"/>
    <col min="2" max="2" width="12.25" style="3444" customWidth="1"/>
    <col min="3" max="3" width="25.75" style="3444" customWidth="1"/>
    <col min="4" max="4" width="13" style="3444" customWidth="1"/>
    <col min="5" max="5" width="13.375" style="3444" customWidth="1"/>
    <col min="6" max="6" width="13.125" style="3444" customWidth="1"/>
    <col min="7" max="53" width="20" style="3444" customWidth="1"/>
    <col min="54" max="16384" width="9" style="3444"/>
  </cols>
  <sheetData>
    <row r="1" spans="1:52">
      <c r="A1" s="3444" t="s">
        <v>3390</v>
      </c>
      <c r="B1" s="3444" t="s">
        <v>3391</v>
      </c>
      <c r="C1" s="3444" t="s">
        <v>3392</v>
      </c>
      <c r="D1" s="3444" t="s">
        <v>3393</v>
      </c>
      <c r="E1" s="3444" t="s">
        <v>3394</v>
      </c>
      <c r="F1" s="3444" t="s">
        <v>3395</v>
      </c>
      <c r="G1" s="3444" t="s">
        <v>3396</v>
      </c>
      <c r="H1" s="3444" t="s">
        <v>3397</v>
      </c>
      <c r="I1" s="3444" t="s">
        <v>3398</v>
      </c>
      <c r="J1" s="3444" t="s">
        <v>3399</v>
      </c>
      <c r="K1" s="3444" t="s">
        <v>3400</v>
      </c>
      <c r="L1" s="3444" t="s">
        <v>3401</v>
      </c>
      <c r="M1" s="3444" t="s">
        <v>3402</v>
      </c>
      <c r="N1" s="3444" t="s">
        <v>3403</v>
      </c>
      <c r="O1" s="3444" t="s">
        <v>3404</v>
      </c>
      <c r="P1" s="3444" t="s">
        <v>3405</v>
      </c>
      <c r="Q1" s="3444" t="s">
        <v>3406</v>
      </c>
      <c r="R1" s="3444" t="s">
        <v>3407</v>
      </c>
      <c r="S1" s="3444" t="s">
        <v>3408</v>
      </c>
      <c r="T1" s="3444" t="s">
        <v>3409</v>
      </c>
      <c r="U1" s="3444" t="s">
        <v>3410</v>
      </c>
      <c r="V1" s="3444" t="s">
        <v>3411</v>
      </c>
      <c r="W1" s="3444" t="s">
        <v>3412</v>
      </c>
      <c r="X1" s="3444" t="s">
        <v>3413</v>
      </c>
      <c r="Y1" s="3444" t="s">
        <v>3414</v>
      </c>
      <c r="Z1" s="3444" t="s">
        <v>3415</v>
      </c>
      <c r="AA1" s="3444" t="s">
        <v>3416</v>
      </c>
      <c r="AB1" s="3444" t="s">
        <v>3417</v>
      </c>
      <c r="AC1" s="3444" t="s">
        <v>3418</v>
      </c>
      <c r="AD1" s="3444" t="s">
        <v>3419</v>
      </c>
      <c r="AE1" s="3444" t="s">
        <v>3420</v>
      </c>
      <c r="AF1" s="3444" t="s">
        <v>3421</v>
      </c>
      <c r="AG1" s="3444" t="s">
        <v>3422</v>
      </c>
      <c r="AH1" s="3444" t="s">
        <v>3423</v>
      </c>
      <c r="AI1" s="3444" t="s">
        <v>3424</v>
      </c>
      <c r="AJ1" s="3444" t="s">
        <v>3425</v>
      </c>
      <c r="AK1" s="3444" t="s">
        <v>3426</v>
      </c>
      <c r="AL1" s="3444" t="s">
        <v>3427</v>
      </c>
      <c r="AM1" s="3444" t="s">
        <v>3428</v>
      </c>
      <c r="AN1" s="3444" t="s">
        <v>3429</v>
      </c>
      <c r="AO1" s="3444" t="s">
        <v>3430</v>
      </c>
      <c r="AP1" s="3444" t="s">
        <v>3431</v>
      </c>
      <c r="AQ1" s="3444" t="s">
        <v>3432</v>
      </c>
      <c r="AR1" s="3444" t="s">
        <v>3433</v>
      </c>
      <c r="AS1" s="3444" t="s">
        <v>3434</v>
      </c>
      <c r="AT1" s="3444" t="s">
        <v>3435</v>
      </c>
      <c r="AU1" s="3444" t="s">
        <v>3436</v>
      </c>
      <c r="AV1" s="3444" t="s">
        <v>3437</v>
      </c>
      <c r="AW1" s="3444" t="s">
        <v>3438</v>
      </c>
      <c r="AX1" s="3444" t="s">
        <v>3439</v>
      </c>
      <c r="AY1" s="3444" t="s">
        <v>3440</v>
      </c>
      <c r="AZ1" s="3444" t="s">
        <v>3441</v>
      </c>
    </row>
    <row r="2" spans="1:52">
      <c r="A2" s="3444" t="s">
        <v>3481</v>
      </c>
      <c r="B2" s="3444" t="s">
        <v>3375</v>
      </c>
      <c r="C2" s="3444" t="s">
        <v>3482</v>
      </c>
      <c r="D2" s="3444" t="s">
        <v>3442</v>
      </c>
      <c r="E2" s="3444" t="s">
        <v>3483</v>
      </c>
      <c r="F2" s="3444" t="s">
        <v>3484</v>
      </c>
      <c r="G2" s="3444" t="s">
        <v>3485</v>
      </c>
      <c r="H2" s="3444" t="s">
        <v>3486</v>
      </c>
      <c r="I2" s="3444">
        <v>30675.919999999998</v>
      </c>
      <c r="J2" s="3444">
        <v>76689.8</v>
      </c>
      <c r="K2" s="3444" t="s">
        <v>3487</v>
      </c>
      <c r="L2" s="3444" t="s">
        <v>3488</v>
      </c>
      <c r="M2" s="3444" t="s">
        <v>3489</v>
      </c>
      <c r="N2" s="3444" t="s">
        <v>3490</v>
      </c>
      <c r="O2" s="3444" t="s">
        <v>3447</v>
      </c>
      <c r="P2" s="3444">
        <v>0.35</v>
      </c>
      <c r="Q2" s="3444" t="s">
        <v>3491</v>
      </c>
      <c r="R2" s="3444" t="s">
        <v>3492</v>
      </c>
      <c r="S2" s="3444" t="s">
        <v>3492</v>
      </c>
      <c r="T2" s="3444" t="s">
        <v>3493</v>
      </c>
      <c r="U2" s="3444" t="s">
        <v>3444</v>
      </c>
      <c r="V2" s="3444" t="s">
        <v>3444</v>
      </c>
      <c r="W2" s="3444" t="s">
        <v>3444</v>
      </c>
      <c r="X2" s="3444">
        <v>76689.8</v>
      </c>
      <c r="Y2" s="3444">
        <v>76689.8</v>
      </c>
      <c r="Z2" s="3445">
        <v>44438.000497685185</v>
      </c>
      <c r="AA2" s="3445">
        <v>44463.000497685185</v>
      </c>
      <c r="AB2" s="3445">
        <v>44463.000497685185</v>
      </c>
      <c r="AC2" s="3445">
        <v>44465.000497685185</v>
      </c>
      <c r="AD2" s="3444" t="s">
        <v>3494</v>
      </c>
      <c r="AE2" s="3444" t="s">
        <v>3448</v>
      </c>
      <c r="AF2" s="3444" t="s">
        <v>3495</v>
      </c>
      <c r="AG2" s="3444" t="s">
        <v>3496</v>
      </c>
      <c r="AH2" s="3444" t="s">
        <v>3450</v>
      </c>
      <c r="AI2" s="3444">
        <v>34710</v>
      </c>
      <c r="AJ2" s="3444">
        <v>7000</v>
      </c>
      <c r="AK2" s="3444" t="s">
        <v>3497</v>
      </c>
      <c r="AL2" s="3444">
        <v>34710</v>
      </c>
      <c r="AM2" s="3444">
        <v>754.34</v>
      </c>
      <c r="AN2" s="3444">
        <v>754.34</v>
      </c>
      <c r="AO2" s="3444">
        <v>4526</v>
      </c>
      <c r="AP2" s="3444">
        <v>4526</v>
      </c>
      <c r="AQ2" s="3444" t="s">
        <v>3444</v>
      </c>
      <c r="AR2" s="3444" t="s">
        <v>3444</v>
      </c>
      <c r="AS2" s="3444">
        <v>0</v>
      </c>
      <c r="AT2" s="3444" t="s">
        <v>3498</v>
      </c>
      <c r="AU2" s="3444" t="s">
        <v>3447</v>
      </c>
      <c r="AV2" s="3444" t="s">
        <v>3444</v>
      </c>
      <c r="AW2" s="3444">
        <v>16500</v>
      </c>
      <c r="AX2" s="3444" t="s">
        <v>3444</v>
      </c>
      <c r="AY2" s="3444" t="s">
        <v>3444</v>
      </c>
      <c r="AZ2" s="3444" t="s">
        <v>3444</v>
      </c>
    </row>
    <row r="3" spans="1:52" s="3465" customFormat="1">
      <c r="A3" s="3465" t="s">
        <v>3499</v>
      </c>
      <c r="B3" s="3465" t="s">
        <v>3375</v>
      </c>
      <c r="C3" s="3465" t="s">
        <v>3500</v>
      </c>
      <c r="D3" s="3465" t="s">
        <v>3442</v>
      </c>
      <c r="E3" s="3465" t="s">
        <v>3501</v>
      </c>
      <c r="F3" s="3465" t="s">
        <v>3502</v>
      </c>
      <c r="G3" s="3465" t="s">
        <v>3503</v>
      </c>
      <c r="H3" s="3465" t="s">
        <v>3504</v>
      </c>
      <c r="I3" s="3465">
        <v>154004.04</v>
      </c>
      <c r="J3" s="3465">
        <v>209367</v>
      </c>
      <c r="K3" s="3465" t="s">
        <v>3505</v>
      </c>
      <c r="L3" s="3465" t="s">
        <v>3488</v>
      </c>
      <c r="M3" s="3465" t="s">
        <v>3506</v>
      </c>
      <c r="N3" s="3465" t="s">
        <v>3446</v>
      </c>
      <c r="O3" s="3465" t="s">
        <v>3447</v>
      </c>
      <c r="P3" s="3465" t="s">
        <v>3507</v>
      </c>
      <c r="Q3" s="3465" t="s">
        <v>3508</v>
      </c>
      <c r="R3" s="3465" t="s">
        <v>3492</v>
      </c>
      <c r="S3" s="3465" t="s">
        <v>3492</v>
      </c>
      <c r="T3" s="3465" t="s">
        <v>3493</v>
      </c>
      <c r="U3" s="3465" t="s">
        <v>3444</v>
      </c>
      <c r="V3" s="3465">
        <v>0</v>
      </c>
      <c r="W3" s="3465">
        <v>0</v>
      </c>
      <c r="X3" s="3465">
        <v>206000</v>
      </c>
      <c r="Y3" s="3465">
        <v>206000</v>
      </c>
      <c r="Z3" s="3466">
        <v>44014.000497685185</v>
      </c>
      <c r="AA3" s="3466">
        <v>44036.000497685185</v>
      </c>
      <c r="AB3" s="3466">
        <v>44036.000497685185</v>
      </c>
      <c r="AC3" s="3466">
        <v>44036.000497685185</v>
      </c>
      <c r="AD3" s="3465" t="s">
        <v>3509</v>
      </c>
      <c r="AE3" s="3465" t="s">
        <v>3448</v>
      </c>
      <c r="AF3" s="3465" t="s">
        <v>3510</v>
      </c>
      <c r="AG3" s="3465" t="s">
        <v>3511</v>
      </c>
      <c r="AH3" s="3465" t="s">
        <v>3450</v>
      </c>
      <c r="AI3" s="3465" t="s">
        <v>3444</v>
      </c>
      <c r="AJ3" s="3465">
        <v>54000</v>
      </c>
      <c r="AK3" s="3465" t="s">
        <v>633</v>
      </c>
      <c r="AL3" s="3465">
        <v>269450</v>
      </c>
      <c r="AM3" s="3465" t="s">
        <v>3444</v>
      </c>
      <c r="AN3" s="3465">
        <v>1166.42</v>
      </c>
      <c r="AO3" s="3465" t="s">
        <v>3444</v>
      </c>
      <c r="AP3" s="3465">
        <v>12870</v>
      </c>
      <c r="AQ3" s="3465" t="s">
        <v>3444</v>
      </c>
      <c r="AR3" s="3465" t="s">
        <v>3444</v>
      </c>
      <c r="AS3" s="3465">
        <v>0</v>
      </c>
      <c r="AT3" s="3465" t="s">
        <v>3512</v>
      </c>
      <c r="AU3" s="3465" t="s">
        <v>3447</v>
      </c>
      <c r="AV3" s="3465" t="s">
        <v>3444</v>
      </c>
      <c r="AW3" s="3465">
        <v>29500</v>
      </c>
      <c r="AX3" s="3465" t="s">
        <v>3444</v>
      </c>
      <c r="AY3" s="3465" t="s">
        <v>3444</v>
      </c>
      <c r="AZ3" s="3465">
        <v>-770767</v>
      </c>
    </row>
    <row r="4" spans="1:52" s="3465" customFormat="1">
      <c r="A4" s="3465" t="s">
        <v>3513</v>
      </c>
      <c r="B4" s="3465" t="s">
        <v>3375</v>
      </c>
      <c r="C4" s="3465" t="s">
        <v>3514</v>
      </c>
      <c r="D4" s="3465" t="s">
        <v>3442</v>
      </c>
      <c r="E4" s="3465" t="s">
        <v>3443</v>
      </c>
      <c r="F4" s="3465" t="s">
        <v>3515</v>
      </c>
      <c r="G4" s="3465" t="s">
        <v>3516</v>
      </c>
      <c r="H4" s="3465" t="s">
        <v>3486</v>
      </c>
      <c r="I4" s="3465">
        <v>87651.29</v>
      </c>
      <c r="J4" s="3465">
        <v>140242</v>
      </c>
      <c r="K4" s="3465" t="s">
        <v>3449</v>
      </c>
      <c r="L4" s="3465" t="s">
        <v>3445</v>
      </c>
      <c r="M4" s="3465" t="s">
        <v>3517</v>
      </c>
      <c r="N4" s="3465" t="s">
        <v>3446</v>
      </c>
      <c r="O4" s="3465" t="s">
        <v>3447</v>
      </c>
      <c r="P4" s="3465" t="s">
        <v>3507</v>
      </c>
      <c r="Q4" s="3465" t="s">
        <v>3518</v>
      </c>
      <c r="R4" s="3465" t="s">
        <v>3519</v>
      </c>
      <c r="S4" s="3465" t="s">
        <v>3520</v>
      </c>
      <c r="T4" s="3465" t="s">
        <v>3493</v>
      </c>
      <c r="U4" s="3465" t="s">
        <v>3444</v>
      </c>
      <c r="V4" s="3465">
        <v>0</v>
      </c>
      <c r="W4" s="3465">
        <v>0</v>
      </c>
      <c r="X4" s="3465">
        <v>31882</v>
      </c>
      <c r="Y4" s="3465">
        <v>31882</v>
      </c>
      <c r="Z4" s="3466">
        <v>43934.000497685185</v>
      </c>
      <c r="AA4" s="3466">
        <v>43957.000497685185</v>
      </c>
      <c r="AB4" s="3466">
        <v>43970.000497685185</v>
      </c>
      <c r="AC4" s="3466">
        <v>43970.000497685185</v>
      </c>
      <c r="AD4" s="3465" t="s">
        <v>3521</v>
      </c>
      <c r="AE4" s="3465" t="s">
        <v>3448</v>
      </c>
      <c r="AF4" s="3465" t="s">
        <v>3522</v>
      </c>
      <c r="AG4" s="3465" t="s">
        <v>3523</v>
      </c>
      <c r="AH4" s="3465" t="s">
        <v>3524</v>
      </c>
      <c r="AI4" s="3465">
        <v>201600</v>
      </c>
      <c r="AJ4" s="3465">
        <v>41000</v>
      </c>
      <c r="AK4" s="3465" t="s">
        <v>3525</v>
      </c>
      <c r="AL4" s="3465">
        <v>265000</v>
      </c>
      <c r="AM4" s="3465">
        <v>1533.35</v>
      </c>
      <c r="AN4" s="3465">
        <v>2015.56</v>
      </c>
      <c r="AO4" s="3465">
        <v>14375</v>
      </c>
      <c r="AP4" s="3465">
        <v>18896</v>
      </c>
      <c r="AQ4" s="3465" t="s">
        <v>3444</v>
      </c>
      <c r="AR4" s="3465" t="s">
        <v>3444</v>
      </c>
      <c r="AS4" s="3465">
        <v>31.45</v>
      </c>
      <c r="AT4" s="3465" t="s">
        <v>3526</v>
      </c>
      <c r="AU4" s="3465" t="s">
        <v>3447</v>
      </c>
      <c r="AV4" s="3465" t="s">
        <v>3444</v>
      </c>
      <c r="AW4" s="3465">
        <v>28000</v>
      </c>
      <c r="AX4" s="3465" t="s">
        <v>3444</v>
      </c>
      <c r="AY4" s="3465" t="s">
        <v>3444</v>
      </c>
      <c r="AZ4" s="3465">
        <v>3545</v>
      </c>
    </row>
    <row r="5" spans="1:52">
      <c r="A5" s="3444" t="s">
        <v>3527</v>
      </c>
      <c r="B5" s="3444" t="s">
        <v>3375</v>
      </c>
      <c r="C5" s="3444" t="s">
        <v>3528</v>
      </c>
      <c r="D5" s="3444" t="s">
        <v>3442</v>
      </c>
      <c r="E5" s="3444" t="s">
        <v>3529</v>
      </c>
      <c r="F5" s="3444" t="s">
        <v>3530</v>
      </c>
      <c r="G5" s="3444" t="s">
        <v>3531</v>
      </c>
      <c r="H5" s="3444" t="s">
        <v>3504</v>
      </c>
      <c r="I5" s="3444">
        <v>47115.37</v>
      </c>
      <c r="J5" s="3444">
        <v>99865</v>
      </c>
      <c r="K5" s="3444" t="s">
        <v>3532</v>
      </c>
      <c r="L5" s="3444" t="s">
        <v>3488</v>
      </c>
      <c r="M5" s="3444" t="s">
        <v>3533</v>
      </c>
      <c r="N5" s="3444" t="s">
        <v>3446</v>
      </c>
      <c r="O5" s="3444" t="s">
        <v>3447</v>
      </c>
      <c r="P5" s="3444" t="s">
        <v>3507</v>
      </c>
      <c r="Q5" s="3444" t="s">
        <v>3534</v>
      </c>
      <c r="R5" s="3444" t="s">
        <v>3492</v>
      </c>
      <c r="S5" s="3444" t="s">
        <v>3492</v>
      </c>
      <c r="T5" s="3444" t="s">
        <v>3493</v>
      </c>
      <c r="U5" s="3444" t="s">
        <v>3444</v>
      </c>
      <c r="V5" s="3444">
        <v>0</v>
      </c>
      <c r="W5" s="3444">
        <v>0</v>
      </c>
      <c r="X5" s="3444">
        <v>95785</v>
      </c>
      <c r="Y5" s="3444">
        <v>95785</v>
      </c>
      <c r="Z5" s="3445">
        <v>43830.000497685185</v>
      </c>
      <c r="AA5" s="3445">
        <v>43852.000497685185</v>
      </c>
      <c r="AB5" s="3445">
        <v>43853.000497685185</v>
      </c>
      <c r="AC5" s="3445">
        <v>43853.000497685185</v>
      </c>
      <c r="AD5" s="3444" t="s">
        <v>3535</v>
      </c>
      <c r="AE5" s="3444" t="s">
        <v>3448</v>
      </c>
      <c r="AF5" s="3444" t="s">
        <v>3536</v>
      </c>
      <c r="AG5" s="3444" t="s">
        <v>3537</v>
      </c>
      <c r="AH5" s="3444" t="s">
        <v>3450</v>
      </c>
      <c r="AI5" s="3444" t="s">
        <v>3444</v>
      </c>
      <c r="AJ5" s="3444">
        <v>56500</v>
      </c>
      <c r="AK5" s="3444" t="s">
        <v>633</v>
      </c>
      <c r="AL5" s="3444">
        <v>278800</v>
      </c>
      <c r="AM5" s="3444" t="s">
        <v>3444</v>
      </c>
      <c r="AN5" s="3444">
        <v>3944.93</v>
      </c>
      <c r="AO5" s="3444" t="s">
        <v>3444</v>
      </c>
      <c r="AP5" s="3444">
        <v>27918</v>
      </c>
      <c r="AQ5" s="3444" t="s">
        <v>3444</v>
      </c>
      <c r="AR5" s="3444" t="s">
        <v>3444</v>
      </c>
      <c r="AS5" s="3444">
        <v>0</v>
      </c>
      <c r="AT5" s="3444" t="s">
        <v>3512</v>
      </c>
      <c r="AU5" s="3444" t="s">
        <v>3447</v>
      </c>
      <c r="AV5" s="3444" t="s">
        <v>3444</v>
      </c>
      <c r="AW5" s="3444">
        <v>44800</v>
      </c>
      <c r="AX5" s="3444" t="s">
        <v>3444</v>
      </c>
      <c r="AY5" s="3444" t="s">
        <v>3444</v>
      </c>
      <c r="AZ5" s="3444">
        <v>-638533</v>
      </c>
    </row>
    <row r="6" spans="1:52">
      <c r="A6" s="3444" t="s">
        <v>3538</v>
      </c>
      <c r="B6" s="3444" t="s">
        <v>3375</v>
      </c>
      <c r="C6" s="3444" t="s">
        <v>3539</v>
      </c>
      <c r="D6" s="3444" t="s">
        <v>3442</v>
      </c>
      <c r="E6" s="3444" t="s">
        <v>3529</v>
      </c>
      <c r="F6" s="3444" t="s">
        <v>3540</v>
      </c>
      <c r="G6" s="3444" t="s">
        <v>3541</v>
      </c>
      <c r="H6" s="3444" t="s">
        <v>3504</v>
      </c>
      <c r="I6" s="3444">
        <v>65039.11</v>
      </c>
      <c r="J6" s="3444">
        <v>132382.13</v>
      </c>
      <c r="K6" s="3444" t="s">
        <v>3542</v>
      </c>
      <c r="L6" s="3444" t="s">
        <v>3445</v>
      </c>
      <c r="M6" s="3444" t="s">
        <v>3533</v>
      </c>
      <c r="N6" s="3444" t="s">
        <v>3446</v>
      </c>
      <c r="O6" s="3444" t="s">
        <v>3447</v>
      </c>
      <c r="P6" s="3444" t="s">
        <v>3444</v>
      </c>
      <c r="Q6" s="3444" t="s">
        <v>3543</v>
      </c>
      <c r="R6" s="3444" t="s">
        <v>3492</v>
      </c>
      <c r="S6" s="3444" t="s">
        <v>3492</v>
      </c>
      <c r="T6" s="3444" t="s">
        <v>3493</v>
      </c>
      <c r="U6" s="3444" t="s">
        <v>3444</v>
      </c>
      <c r="V6" s="3444">
        <v>0</v>
      </c>
      <c r="W6" s="3444">
        <v>0</v>
      </c>
      <c r="X6" s="3444">
        <v>130282.13</v>
      </c>
      <c r="Y6" s="3444">
        <v>130282.13</v>
      </c>
      <c r="Z6" s="3445">
        <v>43815.000497685185</v>
      </c>
      <c r="AA6" s="3445">
        <v>43836.000497685185</v>
      </c>
      <c r="AB6" s="3445">
        <v>43850.000497685185</v>
      </c>
      <c r="AC6" s="3445">
        <v>43850.000497685185</v>
      </c>
      <c r="AD6" s="3444" t="s">
        <v>3544</v>
      </c>
      <c r="AE6" s="3444" t="s">
        <v>3448</v>
      </c>
      <c r="AF6" s="3444" t="s">
        <v>3545</v>
      </c>
      <c r="AG6" s="3444" t="s">
        <v>3546</v>
      </c>
      <c r="AH6" s="3444" t="s">
        <v>3547</v>
      </c>
      <c r="AI6" s="3444">
        <v>329000</v>
      </c>
      <c r="AJ6" s="3444">
        <v>65800</v>
      </c>
      <c r="AK6" s="3444" t="s">
        <v>3548</v>
      </c>
      <c r="AL6" s="3444">
        <v>329000</v>
      </c>
      <c r="AM6" s="3444">
        <v>3372.33</v>
      </c>
      <c r="AN6" s="3444">
        <v>3372.33</v>
      </c>
      <c r="AO6" s="3444">
        <v>24852</v>
      </c>
      <c r="AP6" s="3444">
        <v>24852</v>
      </c>
      <c r="AQ6" s="3444" t="s">
        <v>3444</v>
      </c>
      <c r="AR6" s="3444" t="s">
        <v>3444</v>
      </c>
      <c r="AS6" s="3444">
        <v>0</v>
      </c>
      <c r="AT6" s="3444" t="s">
        <v>3512</v>
      </c>
      <c r="AU6" s="3444" t="s">
        <v>3447</v>
      </c>
      <c r="AV6" s="3444" t="s">
        <v>3444</v>
      </c>
      <c r="AW6" s="3444">
        <v>37000</v>
      </c>
      <c r="AX6" s="3444" t="s">
        <v>3444</v>
      </c>
      <c r="AY6" s="3444" t="s">
        <v>3444</v>
      </c>
      <c r="AZ6" s="3444">
        <v>-1529666</v>
      </c>
    </row>
    <row r="7" spans="1:52">
      <c r="A7" s="3444" t="s">
        <v>3549</v>
      </c>
      <c r="B7" s="3444" t="s">
        <v>3375</v>
      </c>
      <c r="C7" s="3444" t="s">
        <v>3550</v>
      </c>
      <c r="D7" s="3444" t="s">
        <v>3442</v>
      </c>
      <c r="E7" s="3444" t="s">
        <v>3551</v>
      </c>
      <c r="F7" s="3444" t="s">
        <v>3552</v>
      </c>
      <c r="G7" s="3444" t="s">
        <v>3553</v>
      </c>
      <c r="H7" s="3444" t="s">
        <v>3486</v>
      </c>
      <c r="I7" s="3444">
        <v>62168.34</v>
      </c>
      <c r="J7" s="3444">
        <v>186162</v>
      </c>
      <c r="K7" s="3444" t="s">
        <v>3554</v>
      </c>
      <c r="L7" s="3444" t="s">
        <v>3488</v>
      </c>
      <c r="M7" s="3444" t="s">
        <v>3517</v>
      </c>
      <c r="N7" s="3444" t="s">
        <v>3446</v>
      </c>
      <c r="O7" s="3444" t="s">
        <v>3447</v>
      </c>
      <c r="P7" s="3444" t="s">
        <v>3507</v>
      </c>
      <c r="Q7" s="3444" t="s">
        <v>3555</v>
      </c>
      <c r="R7" s="3444" t="s">
        <v>3444</v>
      </c>
      <c r="S7" s="3444" t="s">
        <v>3492</v>
      </c>
      <c r="T7" s="3444" t="s">
        <v>3493</v>
      </c>
      <c r="U7" s="3444" t="s">
        <v>3444</v>
      </c>
      <c r="V7" s="3444">
        <v>0</v>
      </c>
      <c r="W7" s="3444">
        <v>0</v>
      </c>
      <c r="X7" s="3444">
        <v>186162</v>
      </c>
      <c r="Y7" s="3444">
        <v>186162</v>
      </c>
      <c r="Z7" s="3445">
        <v>43784.000497685185</v>
      </c>
      <c r="AA7" s="3445">
        <v>43812.000497685185</v>
      </c>
      <c r="AB7" s="3445">
        <v>43812.000497685185</v>
      </c>
      <c r="AC7" s="3445">
        <v>43812.000497685185</v>
      </c>
      <c r="AD7" s="3444" t="s">
        <v>3556</v>
      </c>
      <c r="AE7" s="3444" t="s">
        <v>3448</v>
      </c>
      <c r="AF7" s="3444" t="s">
        <v>3557</v>
      </c>
      <c r="AG7" s="3444" t="s">
        <v>3558</v>
      </c>
      <c r="AH7" s="3444" t="s">
        <v>3450</v>
      </c>
      <c r="AI7" s="3444" t="s">
        <v>3444</v>
      </c>
      <c r="AJ7" s="3444">
        <v>86800</v>
      </c>
      <c r="AK7" s="3444" t="s">
        <v>633</v>
      </c>
      <c r="AL7" s="3444">
        <v>434800</v>
      </c>
      <c r="AM7" s="3444" t="s">
        <v>3444</v>
      </c>
      <c r="AN7" s="3444">
        <v>4662.6099999999997</v>
      </c>
      <c r="AO7" s="3444" t="s">
        <v>3444</v>
      </c>
      <c r="AP7" s="3444">
        <v>23356</v>
      </c>
      <c r="AQ7" s="3444" t="s">
        <v>3444</v>
      </c>
      <c r="AR7" s="3444" t="s">
        <v>3444</v>
      </c>
      <c r="AS7" s="3444">
        <v>0</v>
      </c>
      <c r="AT7" s="3444" t="s">
        <v>3512</v>
      </c>
      <c r="AU7" s="3444" t="s">
        <v>3447</v>
      </c>
      <c r="AV7" s="3444" t="s">
        <v>3444</v>
      </c>
      <c r="AW7" s="3444">
        <v>38000</v>
      </c>
      <c r="AX7" s="3444" t="s">
        <v>3444</v>
      </c>
      <c r="AY7" s="3444" t="s">
        <v>3444</v>
      </c>
      <c r="AZ7" s="3444" t="s">
        <v>3444</v>
      </c>
    </row>
    <row r="8" spans="1:52" s="3465" customFormat="1">
      <c r="A8" s="3465" t="s">
        <v>3559</v>
      </c>
      <c r="B8" s="3465" t="s">
        <v>3375</v>
      </c>
      <c r="C8" s="3465" t="s">
        <v>3560</v>
      </c>
      <c r="D8" s="3465" t="s">
        <v>3442</v>
      </c>
      <c r="E8" s="3465" t="s">
        <v>3443</v>
      </c>
      <c r="F8" s="3465" t="s">
        <v>3515</v>
      </c>
      <c r="G8" s="3465" t="s">
        <v>3516</v>
      </c>
      <c r="H8" s="3465" t="s">
        <v>3504</v>
      </c>
      <c r="I8" s="3465">
        <v>35805</v>
      </c>
      <c r="J8" s="3465">
        <v>71581</v>
      </c>
      <c r="K8" s="3465" t="s">
        <v>3561</v>
      </c>
      <c r="L8" s="3465" t="s">
        <v>3445</v>
      </c>
      <c r="M8" s="3465" t="s">
        <v>3533</v>
      </c>
      <c r="N8" s="3465" t="s">
        <v>3446</v>
      </c>
      <c r="O8" s="3465" t="s">
        <v>3447</v>
      </c>
      <c r="P8" s="3465" t="s">
        <v>3507</v>
      </c>
      <c r="Q8" s="3465" t="s">
        <v>3562</v>
      </c>
      <c r="R8" s="3465" t="s">
        <v>3492</v>
      </c>
      <c r="S8" s="3465" t="s">
        <v>3492</v>
      </c>
      <c r="T8" s="3465" t="s">
        <v>3493</v>
      </c>
      <c r="U8" s="3465" t="s">
        <v>3444</v>
      </c>
      <c r="V8" s="3465">
        <v>0</v>
      </c>
      <c r="W8" s="3465">
        <v>0</v>
      </c>
      <c r="X8" s="3465">
        <v>68381</v>
      </c>
      <c r="Y8" s="3465">
        <v>68381</v>
      </c>
      <c r="Z8" s="3466">
        <v>43753.000497685185</v>
      </c>
      <c r="AA8" s="3466">
        <v>43773.000497685185</v>
      </c>
      <c r="AB8" s="3466">
        <v>43787.000497685185</v>
      </c>
      <c r="AC8" s="3466">
        <v>43787.000497685185</v>
      </c>
      <c r="AD8" s="3465" t="s">
        <v>3563</v>
      </c>
      <c r="AE8" s="3465" t="s">
        <v>3448</v>
      </c>
      <c r="AF8" s="3465" t="s">
        <v>3564</v>
      </c>
      <c r="AG8" s="3465" t="s">
        <v>3565</v>
      </c>
      <c r="AH8" s="3465" t="s">
        <v>3566</v>
      </c>
      <c r="AI8" s="3465">
        <v>77000</v>
      </c>
      <c r="AJ8" s="3465">
        <v>15400</v>
      </c>
      <c r="AK8" s="3465" t="s">
        <v>3567</v>
      </c>
      <c r="AL8" s="3465">
        <v>85000</v>
      </c>
      <c r="AM8" s="3465">
        <v>1433.69</v>
      </c>
      <c r="AN8" s="3465">
        <v>1582.65</v>
      </c>
      <c r="AO8" s="3465">
        <v>10757</v>
      </c>
      <c r="AP8" s="3465">
        <v>11875</v>
      </c>
      <c r="AQ8" s="3465" t="s">
        <v>3444</v>
      </c>
      <c r="AR8" s="3465" t="s">
        <v>3444</v>
      </c>
      <c r="AS8" s="3465">
        <v>10.39</v>
      </c>
      <c r="AT8" s="3465" t="s">
        <v>3512</v>
      </c>
      <c r="AU8" s="3465" t="s">
        <v>3447</v>
      </c>
      <c r="AV8" s="3465" t="s">
        <v>3444</v>
      </c>
      <c r="AW8" s="3465">
        <v>29000</v>
      </c>
      <c r="AX8" s="3465" t="s">
        <v>3444</v>
      </c>
      <c r="AY8" s="3465" t="s">
        <v>3444</v>
      </c>
      <c r="AZ8" s="3465">
        <v>-236625</v>
      </c>
    </row>
    <row r="9" spans="1:52">
      <c r="A9" s="3444" t="s">
        <v>3568</v>
      </c>
      <c r="B9" s="3444" t="s">
        <v>3375</v>
      </c>
      <c r="C9" s="3444" t="s">
        <v>3569</v>
      </c>
      <c r="D9" s="3444" t="s">
        <v>3442</v>
      </c>
      <c r="E9" s="3444" t="s">
        <v>3570</v>
      </c>
      <c r="F9" s="3444" t="s">
        <v>3571</v>
      </c>
      <c r="G9" s="3444" t="s">
        <v>3572</v>
      </c>
      <c r="H9" s="3444" t="s">
        <v>3486</v>
      </c>
      <c r="I9" s="3444">
        <v>37817.29</v>
      </c>
      <c r="J9" s="3444">
        <v>83198</v>
      </c>
      <c r="K9" s="3444" t="s">
        <v>3573</v>
      </c>
      <c r="L9" s="3444" t="s">
        <v>3488</v>
      </c>
      <c r="M9" s="3444" t="s">
        <v>3517</v>
      </c>
      <c r="N9" s="3444" t="s">
        <v>3446</v>
      </c>
      <c r="O9" s="3444" t="s">
        <v>3447</v>
      </c>
      <c r="P9" s="3444" t="s">
        <v>3507</v>
      </c>
      <c r="Q9" s="3444" t="s">
        <v>3574</v>
      </c>
      <c r="R9" s="3444" t="s">
        <v>3492</v>
      </c>
      <c r="S9" s="3444" t="s">
        <v>3492</v>
      </c>
      <c r="T9" s="3444" t="s">
        <v>3493</v>
      </c>
      <c r="U9" s="3444" t="s">
        <v>3444</v>
      </c>
      <c r="V9" s="3444">
        <v>0</v>
      </c>
      <c r="W9" s="3444">
        <v>0</v>
      </c>
      <c r="X9" s="3444">
        <v>83198</v>
      </c>
      <c r="Y9" s="3444">
        <v>83198</v>
      </c>
      <c r="Z9" s="3445">
        <v>43707.000497685185</v>
      </c>
      <c r="AA9" s="3445">
        <v>43728.000497685185</v>
      </c>
      <c r="AB9" s="3445">
        <v>43731.000497685185</v>
      </c>
      <c r="AC9" s="3445">
        <v>43731.000497685185</v>
      </c>
      <c r="AD9" s="3444" t="s">
        <v>3575</v>
      </c>
      <c r="AE9" s="3444" t="s">
        <v>3448</v>
      </c>
      <c r="AF9" s="3444" t="s">
        <v>3576</v>
      </c>
      <c r="AG9" s="3444" t="s">
        <v>3577</v>
      </c>
      <c r="AH9" s="3444" t="s">
        <v>3450</v>
      </c>
      <c r="AI9" s="3444" t="s">
        <v>3444</v>
      </c>
      <c r="AJ9" s="3444">
        <v>17500</v>
      </c>
      <c r="AK9" s="3444" t="s">
        <v>633</v>
      </c>
      <c r="AL9" s="3444">
        <v>85861.18</v>
      </c>
      <c r="AM9" s="3444" t="s">
        <v>3444</v>
      </c>
      <c r="AN9" s="3444">
        <v>1513.61</v>
      </c>
      <c r="AO9" s="3444" t="s">
        <v>3444</v>
      </c>
      <c r="AP9" s="3444">
        <v>10320</v>
      </c>
      <c r="AQ9" s="3444" t="s">
        <v>3444</v>
      </c>
      <c r="AR9" s="3444" t="s">
        <v>3444</v>
      </c>
      <c r="AS9" s="3444">
        <v>0</v>
      </c>
      <c r="AT9" s="3444" t="s">
        <v>3512</v>
      </c>
      <c r="AU9" s="3444" t="s">
        <v>3447</v>
      </c>
      <c r="AV9" s="3444" t="s">
        <v>3444</v>
      </c>
      <c r="AW9" s="3444">
        <v>22700</v>
      </c>
      <c r="AX9" s="3444" t="s">
        <v>3444</v>
      </c>
      <c r="AY9" s="3444" t="s">
        <v>3444</v>
      </c>
      <c r="AZ9" s="3444" t="s">
        <v>3444</v>
      </c>
    </row>
    <row r="10" spans="1:52">
      <c r="A10" s="3444" t="s">
        <v>3578</v>
      </c>
      <c r="B10" s="3444" t="s">
        <v>3375</v>
      </c>
      <c r="C10" s="3444" t="s">
        <v>3579</v>
      </c>
      <c r="D10" s="3444" t="s">
        <v>3442</v>
      </c>
      <c r="E10" s="3444" t="s">
        <v>3580</v>
      </c>
      <c r="F10" s="3444" t="s">
        <v>3581</v>
      </c>
      <c r="G10" s="3444" t="s">
        <v>3582</v>
      </c>
      <c r="H10" s="3444" t="s">
        <v>3504</v>
      </c>
      <c r="I10" s="3444">
        <v>85059.12</v>
      </c>
      <c r="J10" s="3444">
        <v>242377.36</v>
      </c>
      <c r="K10" s="3444" t="s">
        <v>3583</v>
      </c>
      <c r="L10" s="3444" t="s">
        <v>3445</v>
      </c>
      <c r="M10" s="3444" t="s">
        <v>3584</v>
      </c>
      <c r="N10" s="3444" t="s">
        <v>3446</v>
      </c>
      <c r="O10" s="3444" t="s">
        <v>3447</v>
      </c>
      <c r="P10" s="3444" t="s">
        <v>3507</v>
      </c>
      <c r="Q10" s="3444" t="s">
        <v>3585</v>
      </c>
      <c r="R10" s="3444" t="s">
        <v>3492</v>
      </c>
      <c r="S10" s="3444" t="s">
        <v>3492</v>
      </c>
      <c r="T10" s="3444" t="s">
        <v>3493</v>
      </c>
      <c r="U10" s="3444" t="s">
        <v>3444</v>
      </c>
      <c r="V10" s="3444">
        <v>0</v>
      </c>
      <c r="W10" s="3444">
        <v>0</v>
      </c>
      <c r="X10" s="3444">
        <v>161824.16</v>
      </c>
      <c r="Y10" s="3444">
        <v>161824.16</v>
      </c>
      <c r="Z10" s="3445">
        <v>43700.000497685185</v>
      </c>
      <c r="AA10" s="3445">
        <v>43720.000497685185</v>
      </c>
      <c r="AB10" s="3445">
        <v>43735.000497685185</v>
      </c>
      <c r="AC10" s="3444" t="s">
        <v>3444</v>
      </c>
      <c r="AD10" s="3444" t="s">
        <v>3586</v>
      </c>
      <c r="AE10" s="3444" t="s">
        <v>3587</v>
      </c>
      <c r="AF10" s="3444" t="s">
        <v>3447</v>
      </c>
      <c r="AG10" s="3444" t="s">
        <v>3444</v>
      </c>
      <c r="AH10" s="3444" t="s">
        <v>3444</v>
      </c>
      <c r="AI10" s="3444">
        <v>390000</v>
      </c>
      <c r="AJ10" s="3444">
        <v>78000</v>
      </c>
      <c r="AK10" s="3444" t="s">
        <v>3588</v>
      </c>
      <c r="AL10" s="3444" t="s">
        <v>3444</v>
      </c>
      <c r="AM10" s="3444">
        <v>3056.7</v>
      </c>
      <c r="AN10" s="3444" t="s">
        <v>3444</v>
      </c>
      <c r="AO10" s="3444">
        <v>16091</v>
      </c>
      <c r="AP10" s="3444" t="s">
        <v>3444</v>
      </c>
      <c r="AQ10" s="3444" t="s">
        <v>3444</v>
      </c>
      <c r="AR10" s="3444" t="s">
        <v>3444</v>
      </c>
      <c r="AS10" s="3444">
        <v>0</v>
      </c>
      <c r="AT10" s="3444" t="s">
        <v>3512</v>
      </c>
      <c r="AU10" s="3444" t="s">
        <v>3447</v>
      </c>
      <c r="AV10" s="3444" t="s">
        <v>3444</v>
      </c>
      <c r="AW10" s="3444" t="s">
        <v>3447</v>
      </c>
      <c r="AX10" s="3444" t="s">
        <v>3444</v>
      </c>
      <c r="AY10" s="3444" t="s">
        <v>3444</v>
      </c>
      <c r="AZ10" s="3444" t="s">
        <v>3444</v>
      </c>
    </row>
    <row r="11" spans="1:52" s="3467" customFormat="1">
      <c r="A11" s="3467" t="s">
        <v>3590</v>
      </c>
      <c r="B11" s="3467" t="s">
        <v>3375</v>
      </c>
      <c r="C11" s="3467" t="s">
        <v>3591</v>
      </c>
      <c r="D11" s="3467" t="s">
        <v>3442</v>
      </c>
      <c r="E11" s="3467" t="s">
        <v>3443</v>
      </c>
      <c r="F11" s="3467" t="s">
        <v>3589</v>
      </c>
      <c r="G11" s="3467" t="s">
        <v>3592</v>
      </c>
      <c r="H11" s="3467" t="s">
        <v>3504</v>
      </c>
      <c r="I11" s="3467">
        <v>59994</v>
      </c>
      <c r="J11" s="3467">
        <v>123171</v>
      </c>
      <c r="K11" s="3467">
        <v>2.0499999999999998</v>
      </c>
      <c r="L11" s="3467" t="s">
        <v>3445</v>
      </c>
      <c r="M11" s="3467" t="s">
        <v>3593</v>
      </c>
      <c r="N11" s="3467" t="s">
        <v>3446</v>
      </c>
      <c r="O11" s="3467" t="s">
        <v>3447</v>
      </c>
      <c r="P11" s="3467" t="s">
        <v>3594</v>
      </c>
      <c r="Q11" s="3467" t="s">
        <v>3595</v>
      </c>
      <c r="R11" s="3467" t="s">
        <v>3492</v>
      </c>
      <c r="S11" s="3467" t="s">
        <v>3492</v>
      </c>
      <c r="T11" s="3467" t="s">
        <v>3493</v>
      </c>
      <c r="U11" s="3467" t="s">
        <v>3444</v>
      </c>
      <c r="V11" s="3467">
        <v>0</v>
      </c>
      <c r="W11" s="3467">
        <v>0</v>
      </c>
      <c r="X11" s="3467">
        <v>107258</v>
      </c>
      <c r="Y11" s="3467">
        <v>107258</v>
      </c>
      <c r="Z11" s="3468">
        <v>43042.000497685185</v>
      </c>
      <c r="AA11" s="3468">
        <v>43062.000497685185</v>
      </c>
      <c r="AB11" s="3468">
        <v>43076.000497685185</v>
      </c>
      <c r="AC11" s="3468">
        <v>43076.000497685185</v>
      </c>
      <c r="AD11" s="3467" t="s">
        <v>3596</v>
      </c>
      <c r="AE11" s="3467" t="s">
        <v>3448</v>
      </c>
      <c r="AF11" s="3467" t="s">
        <v>3597</v>
      </c>
      <c r="AG11" s="3467" t="s">
        <v>3598</v>
      </c>
      <c r="AH11" s="3467" t="s">
        <v>3450</v>
      </c>
      <c r="AI11" s="3467">
        <v>161500</v>
      </c>
      <c r="AJ11" s="3467">
        <v>52000</v>
      </c>
      <c r="AK11" s="3467" t="s">
        <v>633</v>
      </c>
      <c r="AL11" s="3467">
        <v>182000</v>
      </c>
      <c r="AM11" s="3467">
        <v>1794.62</v>
      </c>
      <c r="AN11" s="3467">
        <v>2022.42</v>
      </c>
      <c r="AO11" s="3467">
        <v>13112</v>
      </c>
      <c r="AP11" s="3467">
        <v>14776</v>
      </c>
      <c r="AQ11" s="3467" t="s">
        <v>3444</v>
      </c>
      <c r="AR11" s="3467" t="s">
        <v>3444</v>
      </c>
      <c r="AS11" s="3467">
        <v>12.69</v>
      </c>
      <c r="AT11" s="3467" t="s">
        <v>3512</v>
      </c>
      <c r="AU11" s="3467" t="s">
        <v>3447</v>
      </c>
      <c r="AV11" s="3467" t="s">
        <v>3444</v>
      </c>
      <c r="AW11" s="3467" t="s">
        <v>3447</v>
      </c>
      <c r="AX11" s="3467" t="s">
        <v>3444</v>
      </c>
      <c r="AY11" s="3467" t="s">
        <v>3444</v>
      </c>
      <c r="AZ11" s="3467" t="s">
        <v>3444</v>
      </c>
    </row>
  </sheetData>
  <autoFilter ref="A1:AZ1"/>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9" sqref="C9:C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6">
        <f>MATCH(B1,'数据-取费表'!A6:A16,0)+5</f>
        <v>9</v>
      </c>
    </row>
    <row r="2" spans="1:9" s="200" customFormat="1" ht="18" customHeight="1">
      <c r="A2" s="201" t="s">
        <v>1459</v>
      </c>
      <c r="B2" s="202">
        <f ca="1">IF(D2="——",C52,C52-E2)</f>
        <v>244338</v>
      </c>
      <c r="C2" s="199" t="s">
        <v>1460</v>
      </c>
      <c r="D2" s="1850" t="s">
        <v>43</v>
      </c>
      <c r="E2" s="1169"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15736</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163909</v>
      </c>
      <c r="D5" s="211" t="s">
        <v>1466</v>
      </c>
      <c r="E5" s="212" t="s">
        <v>1467</v>
      </c>
      <c r="F5" s="212" t="s">
        <v>1468</v>
      </c>
      <c r="G5" s="213"/>
    </row>
    <row r="6" spans="1:9" s="214" customFormat="1" ht="13.5" customHeight="1">
      <c r="A6" s="778" t="s">
        <v>1469</v>
      </c>
      <c r="B6" s="215" t="s">
        <v>1470</v>
      </c>
      <c r="C6" s="216">
        <f>'土地比较法-住宅、综合'!F65</f>
        <v>156610</v>
      </c>
      <c r="D6" s="217"/>
      <c r="E6" s="218"/>
      <c r="F6" s="218"/>
      <c r="G6" s="219"/>
    </row>
    <row r="7" spans="1:9" s="214" customFormat="1" ht="13.5" customHeight="1">
      <c r="A7" s="778" t="s">
        <v>1471</v>
      </c>
      <c r="B7" s="215" t="s">
        <v>1472</v>
      </c>
      <c r="C7" s="220">
        <f>ROUND(C6*F7,0)</f>
        <v>4777</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2522</v>
      </c>
      <c r="D8" s="222"/>
      <c r="E8" s="220"/>
      <c r="F8" s="221"/>
      <c r="G8" s="1853" t="s">
        <v>3667</v>
      </c>
    </row>
    <row r="9" spans="1:9" s="214" customFormat="1" ht="13.5" customHeight="1">
      <c r="A9" s="779" t="s">
        <v>355</v>
      </c>
      <c r="B9" s="224" t="s">
        <v>1475</v>
      </c>
      <c r="C9" s="225">
        <f ca="1">ROUND(D9*E9/10000,0)</f>
        <v>1607</v>
      </c>
      <c r="D9" s="845">
        <f ca="1">IF(B1="",'数据-汇总表'!E5,IF(INDIRECT("'数据-取费表'!c"&amp;$G$1)="住宅",INDIRECT("'数据-取费表'!k"&amp;$G$1),0))</f>
        <v>107119.92</v>
      </c>
      <c r="E9" s="225">
        <f>'数据-取费表'!B27</f>
        <v>150</v>
      </c>
      <c r="F9" s="221"/>
      <c r="G9" s="1854" t="s">
        <v>3668</v>
      </c>
      <c r="H9" s="1137"/>
      <c r="I9" s="1855" t="s">
        <v>1476</v>
      </c>
    </row>
    <row r="10" spans="1:9" s="214" customFormat="1" ht="13.5" customHeight="1">
      <c r="A10" s="779" t="s">
        <v>356</v>
      </c>
      <c r="B10" s="224" t="s">
        <v>1477</v>
      </c>
      <c r="C10" s="225">
        <f ca="1">ROUND(D10*E10/10000,0)</f>
        <v>915</v>
      </c>
      <c r="D10" s="845">
        <f ca="1">IF(B1="",'数据-汇总表'!E6,IF(INDIRECT("'数据-取费表'!c"&amp;$G$1)="住宅",INDIRECT("'数据-取费表'!s"&amp;$G$1),INDIRECT("'数据-取费表'!k"&amp;$G$1)+INDIRECT("'数据-取费表'!s"&amp;$G$1)))</f>
        <v>48148.58</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155268.5</v>
      </c>
      <c r="E19" s="211">
        <f>'数据-取费表'!B31</f>
        <v>200</v>
      </c>
      <c r="F19" s="231"/>
      <c r="G19" s="1853" t="s">
        <v>3669</v>
      </c>
    </row>
    <row r="20" spans="1:7" s="214" customFormat="1" ht="13.5" customHeight="1">
      <c r="A20" s="255" t="s">
        <v>1490</v>
      </c>
      <c r="B20" s="210" t="s">
        <v>1491</v>
      </c>
      <c r="C20" s="232">
        <f>ROUND((C5+C19)*F20,0)</f>
        <v>3278</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7076</v>
      </c>
      <c r="D22" s="235">
        <f ca="1">C26</f>
        <v>4.0000000000000002E-4</v>
      </c>
      <c r="E22" s="236" t="s">
        <v>1495</v>
      </c>
      <c r="F22" s="237">
        <f ca="1">'数据-取费表'!B40</f>
        <v>3.5499999999999997E-2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7007</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69</v>
      </c>
      <c r="D25" s="238"/>
      <c r="E25" s="241"/>
      <c r="F25" s="239"/>
      <c r="G25" s="242" t="s">
        <v>1507</v>
      </c>
    </row>
    <row r="26" spans="1:7" s="214" customFormat="1">
      <c r="A26" s="780" t="s">
        <v>350</v>
      </c>
      <c r="B26" s="215" t="s">
        <v>1508</v>
      </c>
      <c r="C26" s="238">
        <f ca="1">ROUND(IF('数据-取费表'!B22&lt;=1,F21*F22*'数据-取费表'!B23/2,F21*(POWER((1+F22),'数据-取费表'!B23/2)-1)),4)</f>
        <v>4.0000000000000002E-4</v>
      </c>
      <c r="D26" s="238"/>
      <c r="E26" s="241"/>
      <c r="F26" s="239"/>
      <c r="G26" s="243"/>
    </row>
    <row r="27" spans="1:7" s="214" customFormat="1" ht="24.75">
      <c r="A27" s="255" t="s">
        <v>1509</v>
      </c>
      <c r="B27" s="244" t="s">
        <v>1510</v>
      </c>
      <c r="C27" s="245">
        <f ca="1">C28</f>
        <v>12037</v>
      </c>
      <c r="D27" s="235">
        <f ca="1">C29</f>
        <v>1.4E-3</v>
      </c>
      <c r="E27" s="236" t="s">
        <v>1511</v>
      </c>
      <c r="F27" s="246">
        <f ca="1">IF(B1="",'数据-取费表'!Q16,INDIRECT("'数据-取费表'!q"&amp;$G$1))</f>
        <v>0.12</v>
      </c>
      <c r="G27" s="247" t="s">
        <v>1512</v>
      </c>
    </row>
    <row r="28" spans="1:7" s="214" customFormat="1" ht="13.5" customHeight="1">
      <c r="A28" s="780" t="s">
        <v>346</v>
      </c>
      <c r="B28" s="248" t="s">
        <v>1513</v>
      </c>
      <c r="C28" s="249">
        <f ca="1">ROUND((C5+C19+C20)*F27*'数据-取费表'!B21/'数据-取费表'!B20,0)</f>
        <v>12037</v>
      </c>
      <c r="D28" s="235"/>
      <c r="E28" s="236"/>
      <c r="F28" s="246"/>
      <c r="G28" s="247"/>
    </row>
    <row r="29" spans="1:7" s="214" customFormat="1" ht="13.5" customHeight="1">
      <c r="A29" s="780" t="s">
        <v>347</v>
      </c>
      <c r="B29" s="248" t="s">
        <v>1514</v>
      </c>
      <c r="C29" s="238">
        <f ca="1">ROUND(C21*F27*'数据-取费表'!B21/'数据-取费表'!B20,4)</f>
        <v>1.4E-3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201231</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34250</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30248</v>
      </c>
      <c r="D34" s="217"/>
      <c r="E34" s="220"/>
      <c r="F34" s="257">
        <f ca="1">IF('数据-取费表'!B24=0,1,IF(B1="",'数据-取费表'!N16,INDIRECT("'数据-取费表'!n"&amp;$G$1)))</f>
        <v>0.56200000000000006</v>
      </c>
      <c r="G34" s="219" t="s">
        <v>1523</v>
      </c>
    </row>
    <row r="35" spans="1:7" ht="13.5" customHeight="1">
      <c r="A35" s="780" t="s">
        <v>351</v>
      </c>
      <c r="B35" s="215" t="s">
        <v>1524</v>
      </c>
      <c r="C35" s="220">
        <f ca="1">ROUND(C34*F35,0)</f>
        <v>907</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896</v>
      </c>
      <c r="D36" s="220"/>
      <c r="E36" s="220"/>
      <c r="F36" s="259">
        <f>'数据-取费表'!B34</f>
        <v>0.04</v>
      </c>
      <c r="G36" s="260" t="s">
        <v>1527</v>
      </c>
    </row>
    <row r="37" spans="1:7" s="258" customFormat="1" ht="13.5" customHeight="1">
      <c r="A37" s="780" t="s">
        <v>353</v>
      </c>
      <c r="B37" s="215" t="s">
        <v>1528</v>
      </c>
      <c r="C37" s="249">
        <f ca="1">ROUND(E37*D37*F34/10000,0)</f>
        <v>1745</v>
      </c>
      <c r="D37" s="217">
        <f ca="1">D19</f>
        <v>155268.5</v>
      </c>
      <c r="E37" s="249">
        <f>'数据-取费表'!B35</f>
        <v>200</v>
      </c>
      <c r="F37" s="259"/>
      <c r="G37" s="261" t="s">
        <v>1529</v>
      </c>
    </row>
    <row r="38" spans="1:7" ht="13.5" customHeight="1">
      <c r="A38" s="780" t="s">
        <v>354</v>
      </c>
      <c r="B38" s="215" t="s">
        <v>1530</v>
      </c>
      <c r="C38" s="220">
        <f ca="1">ROUND(C34*F38,0)</f>
        <v>454</v>
      </c>
      <c r="D38" s="220"/>
      <c r="E38" s="220"/>
      <c r="F38" s="259">
        <f>'数据-取费表'!B36</f>
        <v>1.4999999999999999E-2</v>
      </c>
      <c r="G38" s="219" t="s">
        <v>1525</v>
      </c>
    </row>
    <row r="39" spans="1:7" s="214" customFormat="1" ht="13.5" customHeight="1">
      <c r="A39" s="255" t="s">
        <v>1531</v>
      </c>
      <c r="B39" s="210" t="s">
        <v>1532</v>
      </c>
      <c r="C39" s="232">
        <f ca="1">ROUND(C33*F20,0)</f>
        <v>685</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738</v>
      </c>
      <c r="D41" s="235">
        <f ca="1">C44</f>
        <v>4.0000000000000002E-4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724</v>
      </c>
      <c r="D42" s="238"/>
      <c r="E42" s="238"/>
      <c r="F42" s="239"/>
      <c r="G42" s="3753" t="s">
        <v>1541</v>
      </c>
    </row>
    <row r="43" spans="1:7" ht="13.5" customHeight="1">
      <c r="A43" s="780" t="s">
        <v>347</v>
      </c>
      <c r="B43" s="215" t="s">
        <v>1542</v>
      </c>
      <c r="C43" s="238">
        <f ca="1">ROUND(IF('数据-取费表'!B22&lt;=1,C39*F22*'数据-取费表'!B21/2,C39*(POWER((1+F22),'数据-取费表'!B21/2)-1)),0)</f>
        <v>14</v>
      </c>
      <c r="D43" s="238"/>
      <c r="E43" s="238"/>
      <c r="F43" s="239"/>
      <c r="G43" s="3754"/>
    </row>
    <row r="44" spans="1:7" ht="13.5" customHeight="1">
      <c r="A44" s="780" t="s">
        <v>348</v>
      </c>
      <c r="B44" s="215" t="s">
        <v>1543</v>
      </c>
      <c r="C44" s="238">
        <f ca="1">ROUND(IF('数据-取费表'!B22&lt;=1,C40*F22*'数据-取费表'!B21/2,C40*(POWER((1+F22),'数据-取费表'!B21/2)-1)),4)</f>
        <v>4.0000000000000002E-4</v>
      </c>
      <c r="D44" s="238"/>
      <c r="E44" s="238"/>
      <c r="F44" s="239"/>
      <c r="G44" s="3755"/>
    </row>
    <row r="45" spans="1:7" s="214" customFormat="1" ht="13.5" customHeight="1">
      <c r="A45" s="255" t="s">
        <v>1544</v>
      </c>
      <c r="B45" s="244" t="s">
        <v>1510</v>
      </c>
      <c r="C45" s="245">
        <f ca="1">C46</f>
        <v>4192</v>
      </c>
      <c r="D45" s="235">
        <f ca="1">C47</f>
        <v>2.3999999999999998E-3</v>
      </c>
      <c r="E45" s="236" t="s">
        <v>1536</v>
      </c>
      <c r="F45" s="246">
        <f ca="1">F27</f>
        <v>0.12</v>
      </c>
      <c r="G45" s="247" t="s">
        <v>1545</v>
      </c>
    </row>
    <row r="46" spans="1:7" s="214" customFormat="1" ht="13.5" customHeight="1">
      <c r="A46" s="780" t="s">
        <v>346</v>
      </c>
      <c r="B46" s="248" t="s">
        <v>1546</v>
      </c>
      <c r="C46" s="249">
        <f ca="1">ROUND((C33+C39)*F27,0)</f>
        <v>4192</v>
      </c>
      <c r="D46" s="263"/>
      <c r="E46" s="236"/>
      <c r="F46" s="246"/>
      <c r="G46" s="247"/>
    </row>
    <row r="47" spans="1:7" s="214" customFormat="1" ht="13.5" customHeight="1">
      <c r="A47" s="780"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43107</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43107</v>
      </c>
      <c r="D51" s="232"/>
      <c r="E51" s="232"/>
      <c r="F51" s="264"/>
      <c r="G51" s="234" t="s">
        <v>1557</v>
      </c>
    </row>
    <row r="52" spans="1:7" s="208" customFormat="1" ht="16.5" thickBot="1">
      <c r="A52" s="265" t="s">
        <v>1558</v>
      </c>
      <c r="B52" s="266"/>
      <c r="C52" s="267">
        <f ca="1">C31+C51</f>
        <v>244338</v>
      </c>
      <c r="D52" s="266"/>
      <c r="E52" s="266"/>
      <c r="F52" s="266"/>
      <c r="G52" s="268"/>
    </row>
    <row r="55" spans="1:7" ht="15">
      <c r="B55" s="270" t="s">
        <v>1559</v>
      </c>
      <c r="C55" s="271"/>
    </row>
    <row r="56" spans="1:7">
      <c r="B56" s="273" t="s">
        <v>802</v>
      </c>
      <c r="C56" s="275">
        <f ca="1">1-C57</f>
        <v>0.82400000000000007</v>
      </c>
    </row>
    <row r="57" spans="1:7">
      <c r="B57" s="273" t="s">
        <v>803</v>
      </c>
      <c r="C57" s="274">
        <f ca="1">ROUND(C51/C52,3)</f>
        <v>0.17599999999999999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c r="C1" s="1856" t="s">
        <v>1560</v>
      </c>
      <c r="D1" s="198"/>
      <c r="E1" s="198"/>
      <c r="F1" s="198"/>
      <c r="G1" s="1126">
        <f>MATCH(B1,'数据-取费表'!A6:A16,0)+5</f>
        <v>9</v>
      </c>
      <c r="H1" s="1061" t="str">
        <f>IF(ISERROR(FIND("住宅",B1)),"非住宅","住宅")</f>
        <v>非住宅</v>
      </c>
    </row>
    <row r="2" spans="1:8" s="200" customFormat="1" ht="18" customHeight="1">
      <c r="A2" s="201" t="s">
        <v>1459</v>
      </c>
      <c r="B2" s="3415">
        <f ca="1">ROUND(IF(D2="——",C52/10000,C52/10000-E2),4)</f>
        <v>85115.295899999997</v>
      </c>
      <c r="C2" s="199" t="s">
        <v>1460</v>
      </c>
      <c r="D2" s="1850" t="s">
        <v>43</v>
      </c>
      <c r="E2" s="1169"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5482</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25216218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25216218</v>
      </c>
      <c r="D8" s="222"/>
      <c r="E8" s="220"/>
      <c r="F8" s="221"/>
      <c r="G8" s="1853"/>
    </row>
    <row r="9" spans="1:8" s="214" customFormat="1" ht="13.5" customHeight="1">
      <c r="A9" s="779" t="s">
        <v>355</v>
      </c>
      <c r="B9" s="224" t="s">
        <v>1475</v>
      </c>
      <c r="C9" s="225">
        <f ca="1">ROUND(D9*E9,0)</f>
        <v>16067988</v>
      </c>
      <c r="D9" s="845">
        <f ca="1">IF(B1="",'数据-汇总表'!E5,IF(INDIRECT("'数据-取费表'!c"&amp;$G$1)="住宅",INDIRECT("'数据-取费表'!k"&amp;$G$1),0))</f>
        <v>107119.92</v>
      </c>
      <c r="E9" s="225">
        <f>'数据-取费表'!B27</f>
        <v>150</v>
      </c>
      <c r="F9" s="221"/>
      <c r="G9" s="226"/>
    </row>
    <row r="10" spans="1:8" s="214" customFormat="1" ht="13.5" customHeight="1">
      <c r="A10" s="779" t="s">
        <v>356</v>
      </c>
      <c r="B10" s="224" t="s">
        <v>1477</v>
      </c>
      <c r="C10" s="225">
        <f ca="1">ROUND(D10*E10,0)</f>
        <v>9148230</v>
      </c>
      <c r="D10" s="845">
        <f ca="1">IF(B1="",'数据-汇总表'!E6,IF(INDIRECT("'数据-取费表'!c"&amp;$G$1)="住宅",INDIRECT("'数据-取费表'!s"&amp;$G$1),INDIRECT("'数据-取费表'!k"&amp;$G$1)+INDIRECT("'数据-取费表'!s"&amp;$G$1)))</f>
        <v>48148.58</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31053700</v>
      </c>
      <c r="D19" s="849">
        <f ca="1">D9+D10</f>
        <v>155268.5</v>
      </c>
      <c r="E19" s="211">
        <f>'数据-取费表'!B31</f>
        <v>200</v>
      </c>
      <c r="F19" s="231"/>
      <c r="G19" s="1853"/>
    </row>
    <row r="20" spans="1:7" s="214" customFormat="1" ht="13.5" customHeight="1">
      <c r="A20" s="255" t="s">
        <v>1571</v>
      </c>
      <c r="B20" s="210" t="s">
        <v>1572</v>
      </c>
      <c r="C20" s="232">
        <f ca="1">ROUND((C5+C19)*F20,0)</f>
        <v>1125398</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4106030</v>
      </c>
      <c r="D22" s="235">
        <f ca="1">C26</f>
        <v>6.9999999999999999E-4</v>
      </c>
      <c r="E22" s="236" t="s">
        <v>1576</v>
      </c>
      <c r="F22" s="237">
        <f ca="1">'数据-取费表'!B40</f>
        <v>3.5499999999999997E-2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1822130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2243948</v>
      </c>
      <c r="D24" s="238"/>
      <c r="E24" s="238"/>
      <c r="F24" s="239"/>
      <c r="G24" s="240" t="s">
        <v>1583</v>
      </c>
    </row>
    <row r="25" spans="1:7" s="214" customFormat="1" ht="24">
      <c r="A25" s="780" t="s">
        <v>1473</v>
      </c>
      <c r="B25" s="215" t="s">
        <v>1584</v>
      </c>
      <c r="C25" s="1128">
        <f ca="1">ROUND(IF('数据-取费表'!B22&lt;=1,C20*F22*'数据-取费表'!B22/2,C20*(POWER((1+F22),'数据-取费表'!B22/2)-1)),0)</f>
        <v>39952</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6887438</v>
      </c>
      <c r="D27" s="235">
        <f ca="1">C29</f>
        <v>2.3999999999999998E-3</v>
      </c>
      <c r="E27" s="236" t="s">
        <v>1511</v>
      </c>
      <c r="F27" s="246">
        <f ca="1">IF(B1="",'数据-取费表'!Q16,INDIRECT("'数据-取费表'!q"&amp;$G$1))</f>
        <v>0.12</v>
      </c>
      <c r="G27" s="247" t="s">
        <v>1512</v>
      </c>
    </row>
    <row r="28" spans="1:7" s="214" customFormat="1" ht="13.5" customHeight="1">
      <c r="A28" s="780" t="s">
        <v>346</v>
      </c>
      <c r="B28" s="248" t="s">
        <v>1513</v>
      </c>
      <c r="C28" s="249">
        <f ca="1">ROUND((C5+C19+C20)*F27,0)</f>
        <v>6887438</v>
      </c>
      <c r="D28" s="235"/>
      <c r="E28" s="236"/>
      <c r="F28" s="246"/>
      <c r="G28" s="247"/>
    </row>
    <row r="29" spans="1:7" s="214" customFormat="1" ht="13.5" customHeight="1">
      <c r="A29" s="780" t="s">
        <v>347</v>
      </c>
      <c r="B29" s="248" t="s">
        <v>1514</v>
      </c>
      <c r="C29" s="238">
        <f ca="1">ROUND(C21*F27,4)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73973806</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609618217</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538069176</v>
      </c>
      <c r="D34" s="217"/>
      <c r="E34" s="220"/>
      <c r="F34" s="257"/>
      <c r="G34" s="219"/>
    </row>
    <row r="35" spans="1:7" ht="13.5" customHeight="1">
      <c r="A35" s="780" t="s">
        <v>351</v>
      </c>
      <c r="B35" s="215" t="s">
        <v>1524</v>
      </c>
      <c r="C35" s="220">
        <f ca="1">ROUND(C34*F35,0)</f>
        <v>16142075</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16282228</v>
      </c>
      <c r="D36" s="220"/>
      <c r="E36" s="220"/>
      <c r="F36" s="259">
        <f>'数据-取费表'!B34</f>
        <v>0.04</v>
      </c>
      <c r="G36" s="260" t="s">
        <v>1527</v>
      </c>
    </row>
    <row r="37" spans="1:7" s="258" customFormat="1" ht="13.5" customHeight="1">
      <c r="A37" s="780" t="s">
        <v>353</v>
      </c>
      <c r="B37" s="215" t="s">
        <v>1528</v>
      </c>
      <c r="C37" s="249">
        <f ca="1">ROUND(E37*D37,0)</f>
        <v>31053700</v>
      </c>
      <c r="D37" s="217">
        <f ca="1">D19</f>
        <v>155268.5</v>
      </c>
      <c r="E37" s="249">
        <f>'数据-取费表'!B35</f>
        <v>200</v>
      </c>
      <c r="F37" s="259"/>
      <c r="G37" s="261"/>
    </row>
    <row r="38" spans="1:7" ht="13.5" customHeight="1">
      <c r="A38" s="780" t="s">
        <v>354</v>
      </c>
      <c r="B38" s="215" t="s">
        <v>1530</v>
      </c>
      <c r="C38" s="220">
        <f ca="1">ROUND(C34*F38,0)</f>
        <v>8071038</v>
      </c>
      <c r="D38" s="220"/>
      <c r="E38" s="220"/>
      <c r="F38" s="259">
        <f>'数据-取费表'!B36</f>
        <v>1.4999999999999999E-2</v>
      </c>
      <c r="G38" s="219" t="s">
        <v>1525</v>
      </c>
    </row>
    <row r="39" spans="1:7" s="214" customFormat="1" ht="13.5" customHeight="1">
      <c r="A39" s="255" t="s">
        <v>1531</v>
      </c>
      <c r="B39" s="210" t="s">
        <v>1532</v>
      </c>
      <c r="C39" s="232">
        <f ca="1">ROUND(C33*F20,0)</f>
        <v>12192364</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22074276</v>
      </c>
      <c r="D41" s="235">
        <f ca="1">C44</f>
        <v>6.9999999999999999E-4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21641447</v>
      </c>
      <c r="D42" s="238"/>
      <c r="E42" s="238"/>
      <c r="F42" s="239"/>
      <c r="G42" s="3753" t="s">
        <v>1588</v>
      </c>
    </row>
    <row r="43" spans="1:7" ht="13.5" customHeight="1">
      <c r="A43" s="780" t="s">
        <v>347</v>
      </c>
      <c r="B43" s="215" t="s">
        <v>1542</v>
      </c>
      <c r="C43" s="238">
        <f ca="1">ROUND(IF('数据-取费表'!B22&lt;=1,C39*F22*'数据-取费表'!B20/2,C39*(POWER((1+F22),'数据-取费表'!B20/2)-1)),0)</f>
        <v>432829</v>
      </c>
      <c r="D43" s="238"/>
      <c r="E43" s="238"/>
      <c r="F43" s="239"/>
      <c r="G43" s="3754"/>
    </row>
    <row r="44" spans="1:7" ht="13.5" customHeight="1">
      <c r="A44" s="780" t="s">
        <v>348</v>
      </c>
      <c r="B44" s="215" t="s">
        <v>1543</v>
      </c>
      <c r="C44" s="238">
        <f ca="1">ROUND(IF('数据-取费表'!B22&lt;=1,C40*F22*'数据-取费表'!B20/2,C40*(POWER((1+F22),'数据-取费表'!B20/2)-1)),4)</f>
        <v>6.9999999999999999E-4</v>
      </c>
      <c r="D44" s="238"/>
      <c r="E44" s="238"/>
      <c r="F44" s="239"/>
      <c r="G44" s="3755"/>
    </row>
    <row r="45" spans="1:7" s="214" customFormat="1" ht="13.5" customHeight="1">
      <c r="A45" s="255" t="s">
        <v>1544</v>
      </c>
      <c r="B45" s="244" t="s">
        <v>1510</v>
      </c>
      <c r="C45" s="245">
        <f ca="1">C46</f>
        <v>74617270</v>
      </c>
      <c r="D45" s="235">
        <f ca="1">C47</f>
        <v>2.3999999999999998E-3</v>
      </c>
      <c r="E45" s="236" t="s">
        <v>1536</v>
      </c>
      <c r="F45" s="246">
        <f ca="1">F27</f>
        <v>0.12</v>
      </c>
      <c r="G45" s="247" t="s">
        <v>1545</v>
      </c>
    </row>
    <row r="46" spans="1:7" s="214" customFormat="1" ht="13.5" customHeight="1">
      <c r="A46" s="780" t="s">
        <v>346</v>
      </c>
      <c r="B46" s="248" t="s">
        <v>1546</v>
      </c>
      <c r="C46" s="249">
        <f ca="1">ROUND((C33+C39)*F27,0)</f>
        <v>74617270</v>
      </c>
      <c r="D46" s="263"/>
      <c r="E46" s="236"/>
      <c r="F46" s="246"/>
      <c r="G46" s="247"/>
    </row>
    <row r="47" spans="1:7" s="214" customFormat="1" ht="13.5" customHeight="1">
      <c r="A47" s="780" t="s">
        <v>347</v>
      </c>
      <c r="B47" s="248" t="s">
        <v>1547</v>
      </c>
      <c r="C47" s="238">
        <f ca="1">ROUND(C40*F27,4)</f>
        <v>2.3999999999999998E-3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777179153</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777179153</v>
      </c>
      <c r="D51" s="232"/>
      <c r="E51" s="232"/>
      <c r="F51" s="264"/>
      <c r="G51" s="234" t="s">
        <v>1557</v>
      </c>
    </row>
    <row r="52" spans="1:7" s="208" customFormat="1" ht="16.5" thickBot="1">
      <c r="A52" s="265" t="s">
        <v>1558</v>
      </c>
      <c r="B52" s="266"/>
      <c r="C52" s="267">
        <f ca="1">C31+C51</f>
        <v>851152959</v>
      </c>
      <c r="D52" s="266"/>
      <c r="E52" s="266"/>
      <c r="F52" s="266"/>
      <c r="G52" s="268"/>
    </row>
    <row r="55" spans="1:7" ht="15">
      <c r="B55" s="270" t="s">
        <v>1559</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26" sqref="O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88"/>
      <c r="C1" s="1189"/>
      <c r="D1" s="1187"/>
      <c r="E1" s="2797"/>
      <c r="F1" s="2797"/>
      <c r="G1" s="2662"/>
      <c r="H1" s="2797"/>
      <c r="I1" s="2797"/>
      <c r="J1" s="2797"/>
      <c r="K1" s="2798">
        <f>MATCH(C1,'数据-取费表'!A6:A16,0)+5</f>
        <v>9</v>
      </c>
    </row>
    <row r="2" spans="1:33" ht="18" customHeight="1">
      <c r="A2" s="201" t="s">
        <v>1459</v>
      </c>
      <c r="B2" s="204">
        <f ca="1">C32</f>
        <v>151764</v>
      </c>
      <c r="C2" s="276" t="s">
        <v>1592</v>
      </c>
      <c r="D2" s="276"/>
      <c r="E2" s="2797"/>
      <c r="F2" s="2797"/>
      <c r="G2" s="2797"/>
      <c r="H2" s="2797"/>
      <c r="I2" s="2797"/>
      <c r="J2" s="2797"/>
      <c r="K2" s="2797"/>
    </row>
    <row r="3" spans="1:33" ht="18" customHeight="1" thickBot="1">
      <c r="A3" s="203" t="s">
        <v>1461</v>
      </c>
      <c r="B3" s="204">
        <f ca="1">ROUND(B2*10000/IF(C1="",'数据-汇总表'!E3,INDIRECT("'数据-取费表'!K"&amp;$K$1)),0)</f>
        <v>9774</v>
      </c>
      <c r="C3" s="276" t="s">
        <v>1593</v>
      </c>
      <c r="D3" s="276"/>
      <c r="E3" s="2797"/>
      <c r="F3" s="2797"/>
      <c r="G3" s="2797"/>
      <c r="H3" s="2797"/>
      <c r="I3" s="2797"/>
      <c r="J3" s="2797"/>
      <c r="K3" s="2797"/>
    </row>
    <row r="4" spans="1:33" s="785" customFormat="1" ht="16.5" customHeight="1">
      <c r="A4" s="782" t="s">
        <v>1594</v>
      </c>
      <c r="B4" s="783"/>
      <c r="C4" s="824">
        <f ca="1">SUM(C8:K8)</f>
        <v>212201</v>
      </c>
      <c r="D4" s="783"/>
      <c r="E4" s="783"/>
      <c r="F4" s="783"/>
      <c r="G4" s="783"/>
      <c r="H4" s="783"/>
      <c r="I4" s="783"/>
      <c r="J4" s="783"/>
      <c r="K4" s="784"/>
    </row>
    <row r="5" spans="1:33" s="789" customFormat="1" ht="15">
      <c r="A5" s="786" t="s">
        <v>1595</v>
      </c>
      <c r="B5" s="787" t="s">
        <v>1596</v>
      </c>
      <c r="C5" s="1857" t="s">
        <v>3480</v>
      </c>
      <c r="D5" s="1857" t="s">
        <v>3670</v>
      </c>
      <c r="E5" s="1857" t="s">
        <v>3671</v>
      </c>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f>'比较法-住宅'!B3*80%</f>
        <v>18920.8</v>
      </c>
      <c r="D6" s="791">
        <f ca="1">收益法2!B3</f>
        <v>4364</v>
      </c>
      <c r="E6" s="791">
        <f ca="1">收益法!B3</f>
        <v>1721</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107119.92</v>
      </c>
      <c r="D7" s="277">
        <f>SUMIF('数据-汇总表'!$C19:$C33,假设开发法!D5,'数据-汇总表'!$E19:$E33)</f>
        <v>8639.4699999999993</v>
      </c>
      <c r="E7" s="277">
        <f>SUMIF('数据-汇总表'!$C19:$C33,假设开发法!E5,'数据-汇总表'!$E19:$E33)</f>
        <v>33430.07</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1600</v>
      </c>
      <c r="B8" s="164" t="s">
        <v>1601</v>
      </c>
      <c r="C8" s="825">
        <f>ROUND(C6*C7/10000,0)</f>
        <v>202679</v>
      </c>
      <c r="D8" s="825">
        <f ca="1">收益法2!B2</f>
        <v>3770</v>
      </c>
      <c r="E8" s="825">
        <f ca="1">收益法!B2</f>
        <v>5752</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23559</v>
      </c>
      <c r="D11" s="802"/>
      <c r="E11" s="329"/>
      <c r="F11" s="812">
        <f ca="1">1-IF('数据-取费表'!B24=0,1,IF(C1="",'数据-取费表'!N16,INDIRECT("'数据-取费表'!n"&amp;$K$1)))</f>
        <v>0.43799999999999994</v>
      </c>
      <c r="G11" s="5"/>
      <c r="H11" s="797"/>
      <c r="I11" s="797"/>
      <c r="J11" s="797"/>
      <c r="K11" s="798"/>
    </row>
    <row r="12" spans="1:33" s="803" customFormat="1" ht="13.5" customHeight="1">
      <c r="A12" s="800" t="s">
        <v>636</v>
      </c>
      <c r="B12" s="801" t="s">
        <v>1610</v>
      </c>
      <c r="C12" s="21">
        <f ca="1">ROUND(C11*F12,0)</f>
        <v>707</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733</v>
      </c>
      <c r="D13" s="846"/>
      <c r="E13" s="329"/>
      <c r="F13" s="812">
        <f>'数据-取费表'!B34</f>
        <v>0.04</v>
      </c>
      <c r="G13" s="5" t="s">
        <v>1613</v>
      </c>
      <c r="H13" s="797"/>
      <c r="I13" s="797"/>
      <c r="J13" s="797"/>
      <c r="K13" s="798"/>
    </row>
    <row r="14" spans="1:33" s="805" customFormat="1" ht="13.5" customHeight="1">
      <c r="A14" s="800" t="s">
        <v>638</v>
      </c>
      <c r="B14" s="801" t="s">
        <v>1614</v>
      </c>
      <c r="C14" s="21">
        <f ca="1">ROUND(D14*E14*F11/10000,0)</f>
        <v>1360</v>
      </c>
      <c r="D14" s="846">
        <f ca="1">IF(C1="",'数据-汇总表'!E3,INDIRECT("'数据-取费表'!K"&amp;$K$1)+INDIRECT("'数据-取费表'!S"&amp;$K$1))</f>
        <v>155268.5</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353</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26712</v>
      </c>
      <c r="D16" s="806"/>
      <c r="E16" s="811"/>
      <c r="F16" s="812"/>
      <c r="G16" s="131"/>
      <c r="H16" s="1185"/>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155268.5</v>
      </c>
      <c r="E17" s="21">
        <f>'数据-取费表'!B32</f>
        <v>0</v>
      </c>
      <c r="F17" s="806"/>
      <c r="G17" s="131" t="s">
        <v>1620</v>
      </c>
      <c r="H17" s="1185"/>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59" t="s">
        <v>3712</v>
      </c>
      <c r="H18" s="1184">
        <f>成本法!C8</f>
        <v>2522</v>
      </c>
      <c r="I18" s="1860" t="s">
        <v>1622</v>
      </c>
      <c r="J18" s="807"/>
      <c r="K18" s="808"/>
    </row>
    <row r="19" spans="1:33" s="803" customFormat="1" ht="13.5" customHeight="1">
      <c r="A19" s="800" t="s">
        <v>360</v>
      </c>
      <c r="B19" s="801" t="s">
        <v>1623</v>
      </c>
      <c r="C19" s="21">
        <f ca="1">ROUND(D19*E19/10000,0)</f>
        <v>1607</v>
      </c>
      <c r="D19" s="846">
        <f ca="1">IF(C1="",'数据-汇总表'!E5,IF(INDIRECT("'数据-取费表'!c"&amp;$K$1)="住宅",INDIRECT("'数据-取费表'!k"&amp;$K$1),0))</f>
        <v>107119.92</v>
      </c>
      <c r="E19" s="21">
        <f>'数据-取费表'!B27</f>
        <v>150</v>
      </c>
      <c r="F19" s="804"/>
      <c r="G19" s="12"/>
      <c r="H19" s="1186"/>
      <c r="I19" s="809"/>
      <c r="J19" s="809"/>
      <c r="K19" s="810"/>
    </row>
    <row r="20" spans="1:33" s="803" customFormat="1" ht="13.5" customHeight="1">
      <c r="A20" s="800" t="s">
        <v>361</v>
      </c>
      <c r="B20" s="801" t="s">
        <v>1624</v>
      </c>
      <c r="C20" s="21">
        <f ca="1">ROUND(D20*E20/10000,0)</f>
        <v>915</v>
      </c>
      <c r="D20" s="846">
        <f ca="1">IF(C1="",'数据-汇总表'!E6,IF(INDIRECT("'数据-取费表'!c"&amp;$K$1)="住宅",INDIRECT("'数据-取费表'!s"&amp;$K$1),INDIRECT("'数据-取费表'!k"&amp;$K$1)+INDIRECT("'数据-取费表'!s"&amp;$K$1)))</f>
        <v>48148.58</v>
      </c>
      <c r="E20" s="21">
        <f>'数据-取费表'!B28</f>
        <v>190</v>
      </c>
      <c r="F20" s="804"/>
      <c r="G20" s="12"/>
      <c r="H20" s="809"/>
      <c r="I20" s="809"/>
      <c r="J20" s="809"/>
      <c r="K20" s="810"/>
    </row>
    <row r="21" spans="1:33" s="803" customFormat="1" ht="13.5" customHeight="1">
      <c r="A21" s="790" t="s">
        <v>357</v>
      </c>
      <c r="B21" s="813" t="s">
        <v>1625</v>
      </c>
      <c r="C21" s="814">
        <f ca="1">C16+C17+C18</f>
        <v>26712</v>
      </c>
      <c r="D21" s="815"/>
      <c r="E21" s="281"/>
      <c r="F21" s="281"/>
      <c r="G21" s="131" t="s">
        <v>1626</v>
      </c>
      <c r="H21" s="807"/>
      <c r="I21" s="807"/>
      <c r="J21" s="807"/>
      <c r="K21" s="808"/>
    </row>
    <row r="22" spans="1:33" s="803" customFormat="1" ht="13.5" customHeight="1">
      <c r="A22" s="790" t="s">
        <v>1598</v>
      </c>
      <c r="B22" s="813" t="s">
        <v>1627</v>
      </c>
      <c r="C22" s="814">
        <f ca="1">ROUND(C21*F22,0)</f>
        <v>534</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1859</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409</v>
      </c>
      <c r="D25" s="280">
        <f ca="1">C26</f>
        <v>2.9100000000000001E-2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2.9100000000000001E-2</v>
      </c>
      <c r="D26" s="284"/>
      <c r="E26" s="285"/>
      <c r="F26" s="286"/>
      <c r="G26" s="1861"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409</v>
      </c>
      <c r="D27" s="284"/>
      <c r="E27" s="285"/>
      <c r="F27" s="286"/>
      <c r="G27" s="1861" t="str">
        <f>IF('数据-取费表'!B22&lt;=1,"（1）-（3）项×年利率×建设期÷2","（1）-（3）项×((1+年利率)^(建设期÷2)-1)")</f>
        <v>（1）-（3）项×((1+年利率)^(建设期÷2)-1)</v>
      </c>
      <c r="H27" s="807"/>
      <c r="I27" s="807"/>
      <c r="J27" s="807"/>
      <c r="K27" s="808"/>
    </row>
    <row r="28" spans="1:33" s="289" customFormat="1" ht="13.5" customHeight="1">
      <c r="A28" s="790" t="s">
        <v>1638</v>
      </c>
      <c r="B28" s="1862" t="s">
        <v>1639</v>
      </c>
      <c r="C28" s="287">
        <f ca="1">C30</f>
        <v>3493</v>
      </c>
      <c r="D28" s="280">
        <f ca="1">C29</f>
        <v>4.9399999999999999E-2</v>
      </c>
      <c r="E28" s="282" t="s">
        <v>12</v>
      </c>
      <c r="F28" s="288">
        <f ca="1">IF(C1="",'数据-取费表'!Q16,INDIRECT("'数据-取费表'!q"&amp;$K$1))</f>
        <v>0.12</v>
      </c>
      <c r="G28" s="817"/>
      <c r="H28" s="818"/>
      <c r="I28" s="818"/>
      <c r="J28" s="818"/>
      <c r="K28" s="819"/>
    </row>
    <row r="29" spans="1:33" s="291" customFormat="1" ht="13.5" customHeight="1">
      <c r="A29" s="800" t="s">
        <v>358</v>
      </c>
      <c r="B29" s="822" t="s">
        <v>1640</v>
      </c>
      <c r="C29" s="284">
        <f ca="1">ROUND((1+C24)*F28*'数据-取费表'!B24/'数据-取费表'!B20,4)</f>
        <v>4.9399999999999999E-2</v>
      </c>
      <c r="D29" s="284"/>
      <c r="E29" s="285"/>
      <c r="F29" s="290"/>
      <c r="G29" s="131" t="s">
        <v>1641</v>
      </c>
      <c r="H29" s="807"/>
      <c r="I29" s="807"/>
      <c r="J29" s="807"/>
      <c r="K29" s="808"/>
    </row>
    <row r="30" spans="1:33" s="291" customFormat="1" ht="13.5" customHeight="1">
      <c r="A30" s="800" t="s">
        <v>359</v>
      </c>
      <c r="B30" s="822" t="s">
        <v>1642</v>
      </c>
      <c r="C30" s="292">
        <f ca="1">ROUND((C21+C22+C23)*F28,0)</f>
        <v>3493</v>
      </c>
      <c r="D30" s="284"/>
      <c r="E30" s="285"/>
      <c r="F30" s="290"/>
      <c r="G30" s="131"/>
      <c r="H30" s="807"/>
      <c r="I30" s="807"/>
      <c r="J30" s="807"/>
      <c r="K30" s="808"/>
    </row>
    <row r="31" spans="1:33" s="803" customFormat="1" ht="13.5" customHeight="1" thickBot="1">
      <c r="A31" s="1863" t="s">
        <v>1643</v>
      </c>
      <c r="B31" s="833" t="s">
        <v>1644</v>
      </c>
      <c r="C31" s="834">
        <f ca="1">ROUND(C4*F31/(1+'数据-取费表'!C42),0)</f>
        <v>11115</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151764</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104" sqref="D104:H10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3480</v>
      </c>
      <c r="E1" s="3417" t="s">
        <v>3702</v>
      </c>
      <c r="F1" s="1876" t="s">
        <v>3703</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f>IF(E1="项目模式",IF(C2="——",ROUND(C49*D3/10000,0),ROUND(C49*D3/10000,0)-D2),IF(E1="单套模式",IF(C2="——",ROUND(C49*D3/10000,4),ROUND(C49*D3/10000,4)-D2)))</f>
        <v>253349</v>
      </c>
      <c r="C2" s="1878" t="s">
        <v>43</v>
      </c>
      <c r="D2" s="1115" t="e">
        <f ca="1">IF(E1="项目模式",SUMIF(INDIRECT("'"&amp;F2&amp;"'"&amp;"!A:A"),"承租人权益价值",INDIRECT("'"&amp;F2&amp;"'"&amp;"!c:c")),SUMIF(INDIRECT("'"&amp;F2&amp;"'"&amp;"!A:A"),"承租人权益价值（单套）",INDIRECT("'"&amp;F2&amp;"'"&amp;"!c:c")))</f>
        <v>#REF!</v>
      </c>
      <c r="E2" s="1879" t="s">
        <v>1661</v>
      </c>
      <c r="F2" s="1880"/>
      <c r="G2" s="907"/>
      <c r="H2" s="907"/>
      <c r="I2" s="907"/>
      <c r="J2" s="907"/>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23651</v>
      </c>
      <c r="C3" s="354" t="s">
        <v>1662</v>
      </c>
      <c r="D3" s="353">
        <f>IF(D1="",'数据-汇总表'!E3,SUMIF('数据-汇总表'!$C19:$C33,D1,'数据-汇总表'!$E19:$E33))</f>
        <v>107119.92</v>
      </c>
      <c r="E3" s="907"/>
      <c r="F3" s="1885"/>
      <c r="G3" s="907"/>
      <c r="H3" s="907"/>
      <c r="I3" s="907"/>
      <c r="J3" s="907"/>
      <c r="K3" s="1881"/>
      <c r="L3" s="2704"/>
      <c r="M3" s="2705"/>
      <c r="N3" s="2705"/>
      <c r="O3" s="2705"/>
      <c r="P3" s="1882"/>
      <c r="Q3" s="1883"/>
      <c r="R3" s="1883"/>
      <c r="S3" s="1883"/>
      <c r="T3" s="1883"/>
      <c r="U3" s="1883"/>
      <c r="V3" s="1883"/>
      <c r="W3" s="1883"/>
      <c r="X3" s="1883"/>
      <c r="Y3" s="1883"/>
      <c r="Z3" s="1883"/>
      <c r="AA3" s="1883"/>
      <c r="AB3" s="1883"/>
      <c r="AC3" s="1061"/>
    </row>
    <row r="4" spans="1:29" ht="15">
      <c r="A4" s="355" t="s">
        <v>1663</v>
      </c>
      <c r="B4" s="356"/>
      <c r="C4" s="3723" t="s">
        <v>1664</v>
      </c>
      <c r="D4" s="3724"/>
      <c r="E4" s="3725" t="s">
        <v>1665</v>
      </c>
      <c r="F4" s="3726"/>
      <c r="G4" s="3723" t="s">
        <v>1666</v>
      </c>
      <c r="H4" s="3724"/>
      <c r="I4" s="3723" t="s">
        <v>1667</v>
      </c>
      <c r="J4" s="3724"/>
      <c r="K4" s="1886" t="s">
        <v>1668</v>
      </c>
      <c r="L4" s="2706"/>
      <c r="M4" s="2707"/>
      <c r="N4" s="2707"/>
      <c r="O4" s="2707"/>
      <c r="P4" s="3727" t="s">
        <v>1669</v>
      </c>
      <c r="Q4" s="3728"/>
      <c r="R4" s="3708" t="s">
        <v>1665</v>
      </c>
      <c r="S4" s="3709"/>
      <c r="T4" s="3708" t="s">
        <v>1666</v>
      </c>
      <c r="U4" s="3709"/>
      <c r="V4" s="3735" t="s">
        <v>1667</v>
      </c>
      <c r="W4" s="3735"/>
      <c r="X4" s="1352"/>
      <c r="Y4" s="3708" t="s">
        <v>1669</v>
      </c>
      <c r="Z4" s="3709"/>
      <c r="AA4" s="3703" t="s">
        <v>1665</v>
      </c>
      <c r="AB4" s="3703" t="s">
        <v>1666</v>
      </c>
      <c r="AC4" s="3703" t="s">
        <v>1667</v>
      </c>
    </row>
    <row r="5" spans="1:29" ht="15">
      <c r="A5" s="358"/>
      <c r="B5" s="359"/>
      <c r="C5" s="3757" t="s">
        <v>3678</v>
      </c>
      <c r="D5" s="3715"/>
      <c r="E5" s="3756" t="s">
        <v>3675</v>
      </c>
      <c r="F5" s="3748"/>
      <c r="G5" s="3757" t="s">
        <v>3676</v>
      </c>
      <c r="H5" s="3715"/>
      <c r="I5" s="3757" t="s">
        <v>3674</v>
      </c>
      <c r="J5" s="3715"/>
      <c r="K5" s="1887"/>
      <c r="L5" s="2706"/>
      <c r="M5" s="2707"/>
      <c r="N5" s="2707"/>
      <c r="O5" s="2707"/>
      <c r="P5" s="3729"/>
      <c r="Q5" s="3730"/>
      <c r="R5" s="3710"/>
      <c r="S5" s="3711"/>
      <c r="T5" s="3710"/>
      <c r="U5" s="3711"/>
      <c r="V5" s="3735"/>
      <c r="W5" s="3735"/>
      <c r="X5" s="1352"/>
      <c r="Y5" s="3710"/>
      <c r="Z5" s="3711"/>
      <c r="AA5" s="3704"/>
      <c r="AB5" s="3704"/>
      <c r="AC5" s="3704"/>
    </row>
    <row r="6" spans="1:29" ht="15.75" thickBot="1">
      <c r="A6" s="360"/>
      <c r="B6" s="361"/>
      <c r="C6" s="3758" t="s">
        <v>1674</v>
      </c>
      <c r="D6" s="3717"/>
      <c r="E6" s="3759" t="s">
        <v>1674</v>
      </c>
      <c r="F6" s="3721"/>
      <c r="G6" s="3758" t="s">
        <v>1674</v>
      </c>
      <c r="H6" s="3717"/>
      <c r="I6" s="3716" t="s">
        <v>3682</v>
      </c>
      <c r="J6" s="3717"/>
      <c r="K6" s="1887" t="s">
        <v>1675</v>
      </c>
      <c r="L6" s="2706"/>
      <c r="M6" s="2707"/>
      <c r="N6" s="2707"/>
      <c r="O6" s="2707"/>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v>45078</v>
      </c>
      <c r="F7" s="367">
        <f>SUMIF(58:58,YEAR(E7)&amp;"-"&amp;MONTH(E7),59:59)</f>
        <v>100</v>
      </c>
      <c r="G7" s="366">
        <v>45108</v>
      </c>
      <c r="H7" s="365">
        <f>SUMIF(58:58,YEAR(G7)&amp;"-"&amp;MONTH(G7),59:59)</f>
        <v>100</v>
      </c>
      <c r="I7" s="366">
        <v>45108</v>
      </c>
      <c r="J7" s="365">
        <f>SUMIF(58:58,YEAR(I7)&amp;"-"&amp;MONTH(I7),59:59)</f>
        <v>100</v>
      </c>
      <c r="K7" s="1888"/>
      <c r="L7" s="2708"/>
      <c r="M7" s="2709"/>
      <c r="N7" s="2709"/>
      <c r="O7" s="2709"/>
      <c r="P7" s="3706" t="s">
        <v>1677</v>
      </c>
      <c r="Q7" s="3736"/>
      <c r="R7" s="701" t="s">
        <v>20</v>
      </c>
      <c r="S7" s="702">
        <f t="shared" ref="S7:S15" si="0">F7</f>
        <v>100</v>
      </c>
      <c r="T7" s="701" t="s">
        <v>20</v>
      </c>
      <c r="U7" s="702">
        <f t="shared" ref="U7:U15" si="1">H7</f>
        <v>100</v>
      </c>
      <c r="V7" s="701" t="s">
        <v>20</v>
      </c>
      <c r="W7" s="702">
        <f t="shared" ref="W7:W15" si="2">J7</f>
        <v>100</v>
      </c>
      <c r="X7" s="703"/>
      <c r="Y7" s="3706" t="s">
        <v>1677</v>
      </c>
      <c r="Z7" s="3707"/>
      <c r="AA7" s="704">
        <f>D7/F7</f>
        <v>1</v>
      </c>
      <c r="AB7" s="704">
        <f>D7/H7</f>
        <v>1</v>
      </c>
      <c r="AC7" s="704">
        <f>D7/J7</f>
        <v>1</v>
      </c>
    </row>
    <row r="8" spans="1:29" s="108" customFormat="1" ht="15.75" thickBot="1">
      <c r="A8" s="362" t="s">
        <v>1678</v>
      </c>
      <c r="B8" s="363"/>
      <c r="C8" s="368" t="s">
        <v>3472</v>
      </c>
      <c r="D8" s="365">
        <v>100</v>
      </c>
      <c r="E8" s="368" t="s">
        <v>3472</v>
      </c>
      <c r="F8" s="367">
        <f>SUMIF(61:61,E8,62:62)-SUMIF(61:61,C8,62:62)+100</f>
        <v>100</v>
      </c>
      <c r="G8" s="368" t="s">
        <v>3472</v>
      </c>
      <c r="H8" s="365">
        <f>SUMIF(61:61,G8,62:62)-SUMIF(61:61,C8,62:62)+100</f>
        <v>100</v>
      </c>
      <c r="I8" s="368" t="s">
        <v>3472</v>
      </c>
      <c r="J8" s="365">
        <f>SUMIF(61:61,I8,62:62)-SUMIF(61:61,C8,62:62)+100</f>
        <v>100</v>
      </c>
      <c r="K8" s="1888"/>
      <c r="L8" s="2708"/>
      <c r="M8" s="2709"/>
      <c r="N8" s="2709"/>
      <c r="O8" s="2709"/>
      <c r="P8" s="3706" t="s">
        <v>1680</v>
      </c>
      <c r="Q8" s="3707"/>
      <c r="R8" s="701" t="s">
        <v>20</v>
      </c>
      <c r="S8" s="702">
        <f t="shared" si="0"/>
        <v>100</v>
      </c>
      <c r="T8" s="701" t="s">
        <v>20</v>
      </c>
      <c r="U8" s="702">
        <f t="shared" si="1"/>
        <v>100</v>
      </c>
      <c r="V8" s="701" t="s">
        <v>20</v>
      </c>
      <c r="W8" s="702">
        <f t="shared" si="2"/>
        <v>100</v>
      </c>
      <c r="X8" s="703"/>
      <c r="Y8" s="3706" t="s">
        <v>1680</v>
      </c>
      <c r="Z8" s="3707"/>
      <c r="AA8" s="704">
        <f t="shared" ref="AA8:AA19" si="3">D8/F8</f>
        <v>1</v>
      </c>
      <c r="AB8" s="704">
        <f t="shared" ref="AB8:AB19" si="4">D8/H8</f>
        <v>1</v>
      </c>
      <c r="AC8" s="704">
        <f t="shared" ref="AC8:AC19" si="5">D8/J8</f>
        <v>1</v>
      </c>
    </row>
    <row r="9" spans="1:29" s="108" customFormat="1">
      <c r="A9" s="369" t="s">
        <v>1681</v>
      </c>
      <c r="B9" s="63" t="s">
        <v>1682</v>
      </c>
      <c r="C9" s="3503" t="s">
        <v>3677</v>
      </c>
      <c r="D9" s="126">
        <v>100</v>
      </c>
      <c r="E9" s="371" t="s">
        <v>3480</v>
      </c>
      <c r="F9" s="372">
        <f>SUMIF(63:63,E9,64:64)-SUMIF(63:63,C9,64:64)+100</f>
        <v>100</v>
      </c>
      <c r="G9" s="371" t="s">
        <v>3480</v>
      </c>
      <c r="H9" s="126">
        <f>SUMIF(63:63,G9,64:64)-SUMIF(63:63,C9,64:64)+100</f>
        <v>100</v>
      </c>
      <c r="I9" s="371" t="s">
        <v>3480</v>
      </c>
      <c r="J9" s="126">
        <f>SUMIF(63:63,I9,64:64)-SUMIF(63:63,C9,64:64)+100</f>
        <v>100</v>
      </c>
      <c r="K9" s="1888"/>
      <c r="L9" s="2708"/>
      <c r="M9" s="2709"/>
      <c r="N9" s="2709"/>
      <c r="O9" s="2709"/>
      <c r="P9" s="3746"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746"/>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1686</v>
      </c>
      <c r="C11" s="380">
        <v>2</v>
      </c>
      <c r="D11" s="127">
        <v>100</v>
      </c>
      <c r="E11" s="381">
        <v>2.2000000000000002</v>
      </c>
      <c r="F11" s="376">
        <f>LOOKUP(E11,68:68,69:69)-LOOKUP(C11,68:68,69:69)+100</f>
        <v>100</v>
      </c>
      <c r="G11" s="380">
        <v>2.36</v>
      </c>
      <c r="H11" s="127">
        <f>LOOKUP(G11,68:68,69:69)-LOOKUP(C11,68:68,69:69)+100</f>
        <v>100</v>
      </c>
      <c r="I11" s="380">
        <v>2</v>
      </c>
      <c r="J11" s="127">
        <f>LOOKUP(I11,68:68,69:69)-LOOKUP(C11,68:68,69:69)+100</f>
        <v>100</v>
      </c>
      <c r="K11" s="377">
        <v>2</v>
      </c>
      <c r="L11" s="2712"/>
      <c r="M11" s="2707"/>
      <c r="N11" s="2707"/>
      <c r="O11" s="2707"/>
      <c r="P11" s="3746"/>
      <c r="Q11" s="1340" t="str">
        <f t="shared" si="6"/>
        <v>容积率</v>
      </c>
      <c r="R11" s="701" t="s">
        <v>18</v>
      </c>
      <c r="S11" s="702">
        <f t="shared" si="0"/>
        <v>100</v>
      </c>
      <c r="T11" s="701" t="s">
        <v>18</v>
      </c>
      <c r="U11" s="702">
        <f t="shared" si="1"/>
        <v>100</v>
      </c>
      <c r="V11" s="701" t="s">
        <v>18</v>
      </c>
      <c r="W11" s="702">
        <f t="shared" si="2"/>
        <v>100</v>
      </c>
      <c r="X11" s="703"/>
      <c r="Y11" s="3679"/>
      <c r="Z11" s="52" t="str">
        <f t="shared" si="7"/>
        <v>容积率</v>
      </c>
      <c r="AA11" s="704">
        <f t="shared" si="3"/>
        <v>1</v>
      </c>
      <c r="AB11" s="704">
        <f t="shared" si="4"/>
        <v>1</v>
      </c>
      <c r="AC11" s="704">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746"/>
      <c r="Q12" s="1340">
        <f t="shared" si="6"/>
        <v>111</v>
      </c>
      <c r="R12" s="701" t="s">
        <v>18</v>
      </c>
      <c r="S12" s="702">
        <f t="shared" si="0"/>
        <v>100</v>
      </c>
      <c r="T12" s="701" t="s">
        <v>18</v>
      </c>
      <c r="U12" s="702">
        <f t="shared" si="1"/>
        <v>100</v>
      </c>
      <c r="V12" s="701" t="s">
        <v>18</v>
      </c>
      <c r="W12" s="702">
        <f t="shared" si="2"/>
        <v>100</v>
      </c>
      <c r="X12" s="703"/>
      <c r="Y12" s="36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746"/>
      <c r="Q13" s="1340">
        <f t="shared" si="6"/>
        <v>111</v>
      </c>
      <c r="R13" s="701" t="s">
        <v>18</v>
      </c>
      <c r="S13" s="702">
        <f t="shared" si="0"/>
        <v>100</v>
      </c>
      <c r="T13" s="701" t="s">
        <v>18</v>
      </c>
      <c r="U13" s="702">
        <f t="shared" si="1"/>
        <v>100</v>
      </c>
      <c r="V13" s="701" t="s">
        <v>18</v>
      </c>
      <c r="W13" s="702">
        <f t="shared" si="2"/>
        <v>100</v>
      </c>
      <c r="X13" s="703"/>
      <c r="Y13" s="3679"/>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746"/>
      <c r="Q14" s="1340">
        <f t="shared" si="6"/>
        <v>111</v>
      </c>
      <c r="R14" s="701" t="s">
        <v>18</v>
      </c>
      <c r="S14" s="702">
        <f t="shared" si="0"/>
        <v>100</v>
      </c>
      <c r="T14" s="701" t="s">
        <v>18</v>
      </c>
      <c r="U14" s="702">
        <f t="shared" si="1"/>
        <v>100</v>
      </c>
      <c r="V14" s="701" t="s">
        <v>18</v>
      </c>
      <c r="W14" s="702">
        <f t="shared" si="2"/>
        <v>100</v>
      </c>
      <c r="X14" s="703"/>
      <c r="Y14" s="3679"/>
      <c r="Z14" s="52">
        <f t="shared" si="7"/>
        <v>111</v>
      </c>
      <c r="AA14" s="704">
        <f t="shared" si="3"/>
        <v>1</v>
      </c>
      <c r="AB14" s="704">
        <f t="shared" si="4"/>
        <v>1</v>
      </c>
      <c r="AC14" s="704">
        <f t="shared" si="5"/>
        <v>1</v>
      </c>
    </row>
    <row r="15" spans="1:29" ht="30" customHeight="1">
      <c r="A15" s="391" t="s">
        <v>1687</v>
      </c>
      <c r="B15" s="61" t="s">
        <v>1257</v>
      </c>
      <c r="C15" s="1892"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v>3</v>
      </c>
      <c r="L15" s="2713"/>
      <c r="M15" s="2707"/>
      <c r="N15" s="2707"/>
      <c r="O15" s="2707"/>
      <c r="P15" s="3766" t="s">
        <v>1688</v>
      </c>
      <c r="Q15" s="1349" t="str">
        <f t="shared" si="6"/>
        <v>居住社区成熟度</v>
      </c>
      <c r="R15" s="705" t="s">
        <v>18</v>
      </c>
      <c r="S15" s="706">
        <f t="shared" si="0"/>
        <v>100</v>
      </c>
      <c r="T15" s="705" t="s">
        <v>18</v>
      </c>
      <c r="U15" s="706">
        <f t="shared" si="1"/>
        <v>100</v>
      </c>
      <c r="V15" s="705" t="s">
        <v>18</v>
      </c>
      <c r="W15" s="706">
        <f t="shared" si="2"/>
        <v>100</v>
      </c>
      <c r="X15" s="1352"/>
      <c r="Y15" s="3737" t="s">
        <v>1688</v>
      </c>
      <c r="Z15" s="1353" t="str">
        <f t="shared" si="7"/>
        <v>居住社区成熟度</v>
      </c>
      <c r="AA15" s="1350">
        <f t="shared" si="3"/>
        <v>1</v>
      </c>
      <c r="AB15" s="1350">
        <f t="shared" si="4"/>
        <v>1</v>
      </c>
      <c r="AC15" s="1350">
        <f t="shared" si="5"/>
        <v>1</v>
      </c>
    </row>
    <row r="16" spans="1:29" ht="15">
      <c r="A16" s="379"/>
      <c r="B16" s="397"/>
      <c r="C16" s="398" t="s">
        <v>3453</v>
      </c>
      <c r="D16" s="399"/>
      <c r="E16" s="398" t="s">
        <v>3453</v>
      </c>
      <c r="F16" s="399"/>
      <c r="G16" s="398" t="s">
        <v>3453</v>
      </c>
      <c r="H16" s="401"/>
      <c r="I16" s="398" t="s">
        <v>3453</v>
      </c>
      <c r="J16" s="399"/>
      <c r="K16" s="1895"/>
      <c r="L16" s="2713"/>
      <c r="M16" s="2707"/>
      <c r="N16" s="2707"/>
      <c r="O16" s="2707"/>
      <c r="P16" s="3767"/>
      <c r="Q16" s="1349"/>
      <c r="R16" s="705"/>
      <c r="S16" s="706"/>
      <c r="T16" s="705"/>
      <c r="U16" s="706"/>
      <c r="V16" s="705"/>
      <c r="W16" s="706"/>
      <c r="X16" s="1352"/>
      <c r="Y16" s="3738"/>
      <c r="Z16" s="1353"/>
      <c r="AA16" s="1350">
        <v>1</v>
      </c>
      <c r="AB16" s="1350">
        <v>1</v>
      </c>
      <c r="AC16" s="1350">
        <v>1</v>
      </c>
    </row>
    <row r="17" spans="1:29" ht="21.75" customHeight="1">
      <c r="A17" s="379"/>
      <c r="B17" s="402" t="s">
        <v>1259</v>
      </c>
      <c r="C17" s="1896" t="str">
        <f>估价对象房地状况!C6</f>
        <v>较差</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67"/>
      <c r="Q17" s="1349" t="str">
        <f>B17</f>
        <v>交通便捷度</v>
      </c>
      <c r="R17" s="705" t="s">
        <v>18</v>
      </c>
      <c r="S17" s="706">
        <f>F17</f>
        <v>100</v>
      </c>
      <c r="T17" s="705" t="s">
        <v>18</v>
      </c>
      <c r="U17" s="706">
        <f>H17</f>
        <v>100</v>
      </c>
      <c r="V17" s="705" t="s">
        <v>18</v>
      </c>
      <c r="W17" s="706">
        <f>J17</f>
        <v>100</v>
      </c>
      <c r="X17" s="1352"/>
      <c r="Y17" s="3738"/>
      <c r="Z17" s="1353" t="str">
        <f>Q17</f>
        <v>交通便捷度</v>
      </c>
      <c r="AA17" s="1350">
        <f t="shared" si="3"/>
        <v>1</v>
      </c>
      <c r="AB17" s="1350">
        <f t="shared" si="4"/>
        <v>1</v>
      </c>
      <c r="AC17" s="1350">
        <f t="shared" si="5"/>
        <v>1</v>
      </c>
    </row>
    <row r="18" spans="1:29" ht="15">
      <c r="A18" s="379"/>
      <c r="B18" s="407"/>
      <c r="C18" s="1897" t="s">
        <v>3658</v>
      </c>
      <c r="D18" s="401"/>
      <c r="E18" s="1897" t="s">
        <v>3658</v>
      </c>
      <c r="F18" s="401"/>
      <c r="G18" s="1897" t="s">
        <v>3658</v>
      </c>
      <c r="H18" s="399"/>
      <c r="I18" s="1897" t="s">
        <v>3658</v>
      </c>
      <c r="J18" s="399"/>
      <c r="K18" s="1895"/>
      <c r="L18" s="2713"/>
      <c r="M18" s="2707"/>
      <c r="N18" s="2707"/>
      <c r="O18" s="2707"/>
      <c r="P18" s="3767"/>
      <c r="Q18" s="1349"/>
      <c r="R18" s="705"/>
      <c r="S18" s="706"/>
      <c r="T18" s="705"/>
      <c r="U18" s="706"/>
      <c r="V18" s="705"/>
      <c r="W18" s="706"/>
      <c r="X18" s="1352"/>
      <c r="Y18" s="3738"/>
      <c r="Z18" s="1353"/>
      <c r="AA18" s="1350">
        <v>1</v>
      </c>
      <c r="AB18" s="1350">
        <v>1</v>
      </c>
      <c r="AC18" s="1350">
        <v>1</v>
      </c>
    </row>
    <row r="19" spans="1:29" ht="15.75" customHeight="1">
      <c r="A19" s="379"/>
      <c r="B19" s="402" t="s">
        <v>1258</v>
      </c>
      <c r="C19" s="1896" t="str">
        <f>估价对象房地状况!C7</f>
        <v>较差</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67"/>
      <c r="Q19" s="1349" t="str">
        <f>B19</f>
        <v>公共配套设施</v>
      </c>
      <c r="R19" s="705" t="s">
        <v>18</v>
      </c>
      <c r="S19" s="706">
        <f>F19</f>
        <v>100</v>
      </c>
      <c r="T19" s="705" t="s">
        <v>18</v>
      </c>
      <c r="U19" s="706">
        <f>H19</f>
        <v>100</v>
      </c>
      <c r="V19" s="705" t="s">
        <v>18</v>
      </c>
      <c r="W19" s="706">
        <f>J19</f>
        <v>100</v>
      </c>
      <c r="X19" s="1352"/>
      <c r="Y19" s="3738"/>
      <c r="Z19" s="1353" t="str">
        <f>Q19</f>
        <v>公共配套设施</v>
      </c>
      <c r="AA19" s="1350">
        <f t="shared" si="3"/>
        <v>1</v>
      </c>
      <c r="AB19" s="1350">
        <f t="shared" si="4"/>
        <v>1</v>
      </c>
      <c r="AC19" s="1350">
        <f t="shared" si="5"/>
        <v>1</v>
      </c>
    </row>
    <row r="20" spans="1:29" ht="15">
      <c r="A20" s="379"/>
      <c r="B20" s="407"/>
      <c r="C20" s="398" t="s">
        <v>3658</v>
      </c>
      <c r="D20" s="399"/>
      <c r="E20" s="398" t="s">
        <v>3658</v>
      </c>
      <c r="F20" s="399"/>
      <c r="G20" s="398" t="s">
        <v>3658</v>
      </c>
      <c r="H20" s="399"/>
      <c r="I20" s="398" t="s">
        <v>3658</v>
      </c>
      <c r="J20" s="399"/>
      <c r="K20" s="1895"/>
      <c r="L20" s="2713"/>
      <c r="M20" s="2707"/>
      <c r="N20" s="2707"/>
      <c r="O20" s="2707"/>
      <c r="P20" s="3767"/>
      <c r="Q20" s="1349"/>
      <c r="R20" s="705"/>
      <c r="S20" s="706"/>
      <c r="T20" s="705"/>
      <c r="U20" s="706"/>
      <c r="V20" s="705"/>
      <c r="W20" s="706"/>
      <c r="X20" s="1352"/>
      <c r="Y20" s="3738"/>
      <c r="Z20" s="1353"/>
      <c r="AA20" s="1350">
        <v>1</v>
      </c>
      <c r="AB20" s="1350">
        <v>1</v>
      </c>
      <c r="AC20" s="1350">
        <v>1</v>
      </c>
    </row>
    <row r="21" spans="1:29" ht="18" customHeight="1">
      <c r="A21" s="379"/>
      <c r="B21" s="1131" t="s">
        <v>1260</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67"/>
      <c r="Q21" s="1349" t="str">
        <f>B21</f>
        <v>基础设施水平</v>
      </c>
      <c r="R21" s="705" t="s">
        <v>14</v>
      </c>
      <c r="S21" s="706">
        <f>F21</f>
        <v>100</v>
      </c>
      <c r="T21" s="705" t="s">
        <v>14</v>
      </c>
      <c r="U21" s="706">
        <f>H21</f>
        <v>100</v>
      </c>
      <c r="V21" s="705" t="s">
        <v>14</v>
      </c>
      <c r="W21" s="706">
        <f>J21</f>
        <v>100</v>
      </c>
      <c r="X21" s="1352"/>
      <c r="Y21" s="3738"/>
      <c r="Z21" s="1353" t="str">
        <f>Q21</f>
        <v>基础设施水平</v>
      </c>
      <c r="AA21" s="1350">
        <f t="shared" ref="AA21" si="8">D21/F21</f>
        <v>1</v>
      </c>
      <c r="AB21" s="1350">
        <f t="shared" ref="AB21" si="9">D21/H21</f>
        <v>1</v>
      </c>
      <c r="AC21" s="1350">
        <f t="shared" ref="AC21" si="10">D21/J21</f>
        <v>1</v>
      </c>
    </row>
    <row r="22" spans="1:29" ht="15">
      <c r="A22" s="379"/>
      <c r="B22" s="1131"/>
      <c r="C22" s="1897" t="s">
        <v>3454</v>
      </c>
      <c r="D22" s="399"/>
      <c r="E22" s="1897" t="s">
        <v>3454</v>
      </c>
      <c r="F22" s="399"/>
      <c r="G22" s="1897" t="s">
        <v>3454</v>
      </c>
      <c r="H22" s="399"/>
      <c r="I22" s="1897" t="s">
        <v>3454</v>
      </c>
      <c r="J22" s="399"/>
      <c r="K22" s="1901"/>
      <c r="L22" s="2713"/>
      <c r="M22" s="2707"/>
      <c r="N22" s="2707"/>
      <c r="O22" s="2707"/>
      <c r="P22" s="3767"/>
      <c r="Q22" s="1349"/>
      <c r="R22" s="705"/>
      <c r="S22" s="706"/>
      <c r="T22" s="705"/>
      <c r="U22" s="706"/>
      <c r="V22" s="705"/>
      <c r="W22" s="706"/>
      <c r="X22" s="1352"/>
      <c r="Y22" s="3738"/>
      <c r="Z22" s="1353"/>
      <c r="AA22" s="1350">
        <v>1</v>
      </c>
      <c r="AB22" s="1350">
        <v>1</v>
      </c>
      <c r="AC22" s="1350">
        <v>1</v>
      </c>
    </row>
    <row r="23" spans="1:29" ht="15.75" customHeight="1">
      <c r="A23" s="379"/>
      <c r="B23" s="402" t="s">
        <v>1261</v>
      </c>
      <c r="C23" s="1896"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67"/>
      <c r="Q23" s="1349" t="str">
        <f>B23</f>
        <v>自然及人文环境</v>
      </c>
      <c r="R23" s="705" t="s">
        <v>18</v>
      </c>
      <c r="S23" s="706">
        <f>F23</f>
        <v>100</v>
      </c>
      <c r="T23" s="705" t="s">
        <v>18</v>
      </c>
      <c r="U23" s="706">
        <f>H23</f>
        <v>100</v>
      </c>
      <c r="V23" s="705" t="s">
        <v>18</v>
      </c>
      <c r="W23" s="706">
        <f>J23</f>
        <v>100</v>
      </c>
      <c r="X23" s="1352"/>
      <c r="Y23" s="3738"/>
      <c r="Z23" s="1353" t="str">
        <f>Q23</f>
        <v>自然及人文环境</v>
      </c>
      <c r="AA23" s="1350">
        <f>D23/F23</f>
        <v>1</v>
      </c>
      <c r="AB23" s="1350">
        <f>D23/H23</f>
        <v>1</v>
      </c>
      <c r="AC23" s="1350">
        <f>D23/J23</f>
        <v>1</v>
      </c>
    </row>
    <row r="24" spans="1:29" ht="15">
      <c r="A24" s="379"/>
      <c r="B24" s="407"/>
      <c r="C24" s="398" t="s">
        <v>3453</v>
      </c>
      <c r="D24" s="399"/>
      <c r="E24" s="398" t="s">
        <v>3453</v>
      </c>
      <c r="F24" s="399"/>
      <c r="G24" s="398" t="s">
        <v>3453</v>
      </c>
      <c r="H24" s="399"/>
      <c r="I24" s="398" t="s">
        <v>3453</v>
      </c>
      <c r="J24" s="399"/>
      <c r="K24" s="1895"/>
      <c r="L24" s="2713"/>
      <c r="M24" s="2707"/>
      <c r="N24" s="2707"/>
      <c r="O24" s="2707"/>
      <c r="P24" s="3767"/>
      <c r="Q24" s="1349"/>
      <c r="R24" s="705"/>
      <c r="S24" s="706"/>
      <c r="T24" s="705"/>
      <c r="U24" s="706"/>
      <c r="V24" s="705"/>
      <c r="W24" s="706"/>
      <c r="X24" s="1352"/>
      <c r="Y24" s="3738"/>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767"/>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38"/>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767"/>
      <c r="Q26" s="1349" t="str">
        <f t="shared" si="11"/>
        <v>朝向</v>
      </c>
      <c r="R26" s="705" t="s">
        <v>18</v>
      </c>
      <c r="S26" s="706">
        <f t="shared" si="12"/>
        <v>100</v>
      </c>
      <c r="T26" s="705" t="s">
        <v>18</v>
      </c>
      <c r="U26" s="706">
        <f t="shared" si="13"/>
        <v>100</v>
      </c>
      <c r="V26" s="705" t="s">
        <v>18</v>
      </c>
      <c r="W26" s="706">
        <f t="shared" si="14"/>
        <v>100</v>
      </c>
      <c r="X26" s="1352"/>
      <c r="Y26" s="3738"/>
      <c r="Z26" s="1353" t="str">
        <f>Q26</f>
        <v>朝向</v>
      </c>
      <c r="AA26" s="1350">
        <f t="shared" si="15"/>
        <v>1</v>
      </c>
      <c r="AB26" s="1350">
        <f t="shared" si="16"/>
        <v>1</v>
      </c>
      <c r="AC26" s="1350">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767"/>
      <c r="Q27" s="1340">
        <f t="shared" si="11"/>
        <v>111</v>
      </c>
      <c r="R27" s="701" t="s">
        <v>18</v>
      </c>
      <c r="S27" s="702">
        <f t="shared" si="12"/>
        <v>100</v>
      </c>
      <c r="T27" s="701" t="s">
        <v>18</v>
      </c>
      <c r="U27" s="702">
        <f t="shared" si="13"/>
        <v>100</v>
      </c>
      <c r="V27" s="701" t="s">
        <v>18</v>
      </c>
      <c r="W27" s="702">
        <f t="shared" si="14"/>
        <v>100</v>
      </c>
      <c r="X27" s="703"/>
      <c r="Y27" s="3738"/>
      <c r="Z27" s="52">
        <f>Q27</f>
        <v>111</v>
      </c>
      <c r="AA27" s="1350">
        <f t="shared" si="15"/>
        <v>1</v>
      </c>
      <c r="AB27" s="1350">
        <f t="shared" si="16"/>
        <v>1</v>
      </c>
      <c r="AC27" s="1350">
        <f t="shared" si="17"/>
        <v>1</v>
      </c>
    </row>
    <row r="28" spans="1:29" ht="15">
      <c r="A28" s="379"/>
      <c r="B28" s="1133">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767"/>
      <c r="Q28" s="1349">
        <f t="shared" si="11"/>
        <v>111</v>
      </c>
      <c r="R28" s="705" t="s">
        <v>18</v>
      </c>
      <c r="S28" s="706">
        <f t="shared" si="12"/>
        <v>100</v>
      </c>
      <c r="T28" s="705" t="s">
        <v>18</v>
      </c>
      <c r="U28" s="706">
        <f t="shared" si="13"/>
        <v>100</v>
      </c>
      <c r="V28" s="705" t="s">
        <v>18</v>
      </c>
      <c r="W28" s="706">
        <f t="shared" si="14"/>
        <v>100</v>
      </c>
      <c r="X28" s="1352"/>
      <c r="Y28" s="3738"/>
      <c r="Z28" s="1353">
        <f t="shared" ref="Z28:Z46" si="18">Q28</f>
        <v>111</v>
      </c>
      <c r="AA28" s="1350">
        <f t="shared" si="15"/>
        <v>1</v>
      </c>
      <c r="AB28" s="1350">
        <f t="shared" si="16"/>
        <v>1</v>
      </c>
      <c r="AC28" s="1350">
        <f t="shared" si="17"/>
        <v>1</v>
      </c>
    </row>
    <row r="29" spans="1:29" ht="15">
      <c r="A29" s="379"/>
      <c r="B29" s="1133">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767"/>
      <c r="Q29" s="1349">
        <f t="shared" si="11"/>
        <v>111</v>
      </c>
      <c r="R29" s="705" t="s">
        <v>18</v>
      </c>
      <c r="S29" s="706">
        <f t="shared" si="12"/>
        <v>100</v>
      </c>
      <c r="T29" s="705" t="s">
        <v>18</v>
      </c>
      <c r="U29" s="706">
        <f t="shared" si="13"/>
        <v>100</v>
      </c>
      <c r="V29" s="705" t="s">
        <v>18</v>
      </c>
      <c r="W29" s="706">
        <f t="shared" si="14"/>
        <v>100</v>
      </c>
      <c r="X29" s="1352"/>
      <c r="Y29" s="3738"/>
      <c r="Z29" s="1353">
        <f t="shared" si="18"/>
        <v>111</v>
      </c>
      <c r="AA29" s="1350">
        <f t="shared" si="15"/>
        <v>1</v>
      </c>
      <c r="AB29" s="1350">
        <f t="shared" si="16"/>
        <v>1</v>
      </c>
      <c r="AC29" s="1350">
        <f t="shared" si="17"/>
        <v>1</v>
      </c>
    </row>
    <row r="30" spans="1:29" ht="15">
      <c r="A30" s="379"/>
      <c r="B30" s="1133">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767"/>
      <c r="Q30" s="1349">
        <f t="shared" si="11"/>
        <v>111</v>
      </c>
      <c r="R30" s="705" t="s">
        <v>18</v>
      </c>
      <c r="S30" s="706">
        <f t="shared" si="12"/>
        <v>100</v>
      </c>
      <c r="T30" s="705" t="s">
        <v>18</v>
      </c>
      <c r="U30" s="706">
        <f t="shared" si="13"/>
        <v>100</v>
      </c>
      <c r="V30" s="705" t="s">
        <v>18</v>
      </c>
      <c r="W30" s="706">
        <f t="shared" si="14"/>
        <v>100</v>
      </c>
      <c r="X30" s="1352"/>
      <c r="Y30" s="3738"/>
      <c r="Z30" s="1353">
        <f t="shared" si="18"/>
        <v>111</v>
      </c>
      <c r="AA30" s="1350">
        <f t="shared" si="15"/>
        <v>1</v>
      </c>
      <c r="AB30" s="1350">
        <f t="shared" si="16"/>
        <v>1</v>
      </c>
      <c r="AC30" s="1350">
        <f t="shared" si="17"/>
        <v>1</v>
      </c>
    </row>
    <row r="31" spans="1:29" ht="15.75" thickBot="1">
      <c r="A31" s="387"/>
      <c r="B31" s="1133">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767"/>
      <c r="Q31" s="1349">
        <f t="shared" si="11"/>
        <v>111</v>
      </c>
      <c r="R31" s="705" t="s">
        <v>18</v>
      </c>
      <c r="S31" s="706">
        <f t="shared" si="12"/>
        <v>100</v>
      </c>
      <c r="T31" s="705" t="s">
        <v>18</v>
      </c>
      <c r="U31" s="706">
        <f t="shared" si="13"/>
        <v>100</v>
      </c>
      <c r="V31" s="705" t="s">
        <v>18</v>
      </c>
      <c r="W31" s="706">
        <f t="shared" si="14"/>
        <v>100</v>
      </c>
      <c r="X31" s="1352"/>
      <c r="Y31" s="3738"/>
      <c r="Z31" s="1353">
        <f t="shared" si="18"/>
        <v>111</v>
      </c>
      <c r="AA31" s="1350">
        <f t="shared" si="15"/>
        <v>1</v>
      </c>
      <c r="AB31" s="1350">
        <f t="shared" si="16"/>
        <v>1</v>
      </c>
      <c r="AC31" s="1350">
        <f t="shared" si="17"/>
        <v>1</v>
      </c>
    </row>
    <row r="32" spans="1:29" ht="15">
      <c r="A32" s="391" t="s">
        <v>1691</v>
      </c>
      <c r="B32" s="63" t="s">
        <v>1692</v>
      </c>
      <c r="C32" s="1906" t="s">
        <v>3700</v>
      </c>
      <c r="D32" s="418">
        <v>100</v>
      </c>
      <c r="E32" s="1906" t="s">
        <v>3700</v>
      </c>
      <c r="F32" s="412">
        <f>SUMIF(100:100,E32,101:101)-SUMIF(100:100,C32,101:101)+100</f>
        <v>100</v>
      </c>
      <c r="G32" s="1906" t="s">
        <v>3700</v>
      </c>
      <c r="H32" s="418">
        <f>SUMIF(100:100,G32,101:101)-SUMIF(100:100,C32,101:101)+100</f>
        <v>100</v>
      </c>
      <c r="I32" s="1906" t="s">
        <v>3700</v>
      </c>
      <c r="J32" s="386">
        <f>SUMIF(100:100,I32,101:101)-SUMIF(100:100,C32,101:101)+100</f>
        <v>100</v>
      </c>
      <c r="K32" s="377">
        <v>3</v>
      </c>
      <c r="L32" s="2713"/>
      <c r="M32" s="2707"/>
      <c r="N32" s="2707"/>
      <c r="O32" s="2707"/>
      <c r="P32" s="3762" t="s">
        <v>1693</v>
      </c>
      <c r="Q32" s="1349" t="str">
        <f t="shared" si="11"/>
        <v>建筑类型</v>
      </c>
      <c r="R32" s="705" t="s">
        <v>18</v>
      </c>
      <c r="S32" s="706">
        <f t="shared" si="12"/>
        <v>100</v>
      </c>
      <c r="T32" s="705" t="s">
        <v>18</v>
      </c>
      <c r="U32" s="706">
        <f t="shared" si="13"/>
        <v>100</v>
      </c>
      <c r="V32" s="705" t="s">
        <v>18</v>
      </c>
      <c r="W32" s="706">
        <f t="shared" si="14"/>
        <v>100</v>
      </c>
      <c r="X32" s="1352"/>
      <c r="Y32" s="3740" t="s">
        <v>1693</v>
      </c>
      <c r="Z32" s="1353" t="str">
        <f t="shared" si="18"/>
        <v>建筑类型</v>
      </c>
      <c r="AA32" s="1350">
        <f t="shared" si="15"/>
        <v>1</v>
      </c>
      <c r="AB32" s="1350">
        <f t="shared" si="16"/>
        <v>1</v>
      </c>
      <c r="AC32" s="1350">
        <f t="shared" si="17"/>
        <v>1</v>
      </c>
    </row>
    <row r="33" spans="1:29" s="422" customFormat="1" ht="15">
      <c r="A33" s="419"/>
      <c r="B33" s="375" t="s">
        <v>1694</v>
      </c>
      <c r="C33" s="420">
        <f>'数据-汇总表'!E3</f>
        <v>155268.5</v>
      </c>
      <c r="D33" s="127">
        <v>100</v>
      </c>
      <c r="E33" s="420">
        <v>526546.32999999996</v>
      </c>
      <c r="F33" s="376">
        <f>LOOKUP(E33,103:103,104:104)-LOOKUP(C33,103:103,104:104)+100</f>
        <v>102</v>
      </c>
      <c r="G33" s="420">
        <v>133882</v>
      </c>
      <c r="H33" s="127">
        <f>LOOKUP(G33,103:103,104:104)-LOOKUP(C33,103:103,104:104)+100</f>
        <v>98</v>
      </c>
      <c r="I33" s="420">
        <v>101509</v>
      </c>
      <c r="J33" s="127">
        <f>LOOKUP(I33,103:103,104:104)-LOOKUP(C33,103:103,104:104)+100</f>
        <v>98</v>
      </c>
      <c r="K33" s="1890"/>
      <c r="L33" s="2712"/>
      <c r="M33" s="2714"/>
      <c r="N33" s="2714"/>
      <c r="O33" s="2714"/>
      <c r="P33" s="3763"/>
      <c r="Q33" s="707" t="str">
        <f t="shared" si="11"/>
        <v>项目建筑规模</v>
      </c>
      <c r="R33" s="708" t="s">
        <v>18</v>
      </c>
      <c r="S33" s="709">
        <f t="shared" si="12"/>
        <v>102</v>
      </c>
      <c r="T33" s="708" t="s">
        <v>18</v>
      </c>
      <c r="U33" s="709">
        <f t="shared" si="13"/>
        <v>98</v>
      </c>
      <c r="V33" s="708" t="s">
        <v>18</v>
      </c>
      <c r="W33" s="709">
        <f t="shared" si="14"/>
        <v>98</v>
      </c>
      <c r="X33" s="710"/>
      <c r="Y33" s="3740"/>
      <c r="Z33" s="711" t="str">
        <f t="shared" si="18"/>
        <v>项目建筑规模</v>
      </c>
      <c r="AA33" s="1350">
        <f t="shared" si="15"/>
        <v>0.98039215686274506</v>
      </c>
      <c r="AB33" s="1350">
        <f t="shared" si="16"/>
        <v>1.0204081632653061</v>
      </c>
      <c r="AC33" s="1350">
        <f t="shared" si="17"/>
        <v>1.0204081632653061</v>
      </c>
    </row>
    <row r="34" spans="1:29" ht="15">
      <c r="A34" s="423"/>
      <c r="B34" s="375" t="s">
        <v>1695</v>
      </c>
      <c r="C34" s="1907" t="s">
        <v>3388</v>
      </c>
      <c r="D34" s="386">
        <v>100</v>
      </c>
      <c r="E34" s="1907" t="s">
        <v>3388</v>
      </c>
      <c r="F34" s="412">
        <f>SUMIF(105:105,E34,106:106)-SUMIF(105:105,C34,106:106)+100</f>
        <v>100</v>
      </c>
      <c r="G34" s="1907" t="s">
        <v>3388</v>
      </c>
      <c r="H34" s="386">
        <f>SUMIF(105:105,G34,106:106)-SUMIF(105:105,C34,106:106)+100</f>
        <v>100</v>
      </c>
      <c r="I34" s="1907" t="s">
        <v>3388</v>
      </c>
      <c r="J34" s="386">
        <f>SUMIF(105:105,I34,106:106)-SUMIF(105:105,C34,106:106)+100</f>
        <v>100</v>
      </c>
      <c r="K34" s="377">
        <v>2</v>
      </c>
      <c r="L34" s="2713"/>
      <c r="M34" s="2707"/>
      <c r="N34" s="2707"/>
      <c r="O34" s="2707"/>
      <c r="P34" s="3763"/>
      <c r="Q34" s="1349" t="str">
        <f t="shared" si="11"/>
        <v>建筑结构</v>
      </c>
      <c r="R34" s="705" t="s">
        <v>18</v>
      </c>
      <c r="S34" s="706">
        <f t="shared" si="12"/>
        <v>100</v>
      </c>
      <c r="T34" s="705" t="s">
        <v>18</v>
      </c>
      <c r="U34" s="706">
        <f t="shared" si="13"/>
        <v>100</v>
      </c>
      <c r="V34" s="705" t="s">
        <v>18</v>
      </c>
      <c r="W34" s="706">
        <f t="shared" si="14"/>
        <v>100</v>
      </c>
      <c r="X34" s="1352"/>
      <c r="Y34" s="3740"/>
      <c r="Z34" s="1353" t="str">
        <f t="shared" si="18"/>
        <v>建筑结构</v>
      </c>
      <c r="AA34" s="1350">
        <f t="shared" si="15"/>
        <v>1</v>
      </c>
      <c r="AB34" s="1350">
        <f t="shared" si="16"/>
        <v>1</v>
      </c>
      <c r="AC34" s="1350">
        <f t="shared" si="17"/>
        <v>1</v>
      </c>
    </row>
    <row r="35" spans="1:29" ht="15">
      <c r="A35" s="423"/>
      <c r="B35" s="375" t="s">
        <v>1696</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3"/>
      <c r="M35" s="2707"/>
      <c r="N35" s="2707"/>
      <c r="O35" s="2707"/>
      <c r="P35" s="3763"/>
      <c r="Q35" s="1349" t="str">
        <f t="shared" si="11"/>
        <v>建筑品质</v>
      </c>
      <c r="R35" s="705" t="s">
        <v>18</v>
      </c>
      <c r="S35" s="706">
        <f t="shared" si="12"/>
        <v>100</v>
      </c>
      <c r="T35" s="705" t="s">
        <v>18</v>
      </c>
      <c r="U35" s="706">
        <f t="shared" si="13"/>
        <v>100</v>
      </c>
      <c r="V35" s="705" t="s">
        <v>18</v>
      </c>
      <c r="W35" s="706">
        <f t="shared" si="14"/>
        <v>100</v>
      </c>
      <c r="X35" s="1352"/>
      <c r="Y35" s="3740"/>
      <c r="Z35" s="1353" t="str">
        <f t="shared" si="18"/>
        <v>建筑品质</v>
      </c>
      <c r="AA35" s="1350">
        <f t="shared" si="15"/>
        <v>1</v>
      </c>
      <c r="AB35" s="1350">
        <f t="shared" si="16"/>
        <v>1</v>
      </c>
      <c r="AC35" s="1350">
        <f t="shared" si="17"/>
        <v>1</v>
      </c>
    </row>
    <row r="36" spans="1:29" ht="15">
      <c r="A36" s="423"/>
      <c r="B36" s="375" t="s">
        <v>1697</v>
      </c>
      <c r="C36" s="1902" t="s">
        <v>3683</v>
      </c>
      <c r="D36" s="386">
        <v>100</v>
      </c>
      <c r="E36" s="1902" t="s">
        <v>3683</v>
      </c>
      <c r="F36" s="412">
        <f>SUMIF(109:109,E36,110:110)-SUMIF(109:109,C36,110:110)+100</f>
        <v>100</v>
      </c>
      <c r="G36" s="1902" t="s">
        <v>3683</v>
      </c>
      <c r="H36" s="386">
        <f>SUMIF(109:109,G36,110:110)-SUMIF(109:109,C36,110:110)+100</f>
        <v>100</v>
      </c>
      <c r="I36" s="1902" t="s">
        <v>3683</v>
      </c>
      <c r="J36" s="386">
        <f>SUMIF(109:109,I36,110:110)-SUMIF(109:109,C36,110:110)+100</f>
        <v>100</v>
      </c>
      <c r="K36" s="377">
        <v>2</v>
      </c>
      <c r="L36" s="2713"/>
      <c r="M36" s="2707"/>
      <c r="N36" s="2707"/>
      <c r="O36" s="2707"/>
      <c r="P36" s="3763"/>
      <c r="Q36" s="1349" t="str">
        <f t="shared" si="11"/>
        <v>公共部分装修</v>
      </c>
      <c r="R36" s="705" t="s">
        <v>18</v>
      </c>
      <c r="S36" s="706">
        <f t="shared" si="12"/>
        <v>100</v>
      </c>
      <c r="T36" s="705" t="s">
        <v>18</v>
      </c>
      <c r="U36" s="706">
        <f t="shared" si="13"/>
        <v>100</v>
      </c>
      <c r="V36" s="705" t="s">
        <v>18</v>
      </c>
      <c r="W36" s="706">
        <f t="shared" si="14"/>
        <v>100</v>
      </c>
      <c r="X36" s="1352"/>
      <c r="Y36" s="3740"/>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5">
        <v>1</v>
      </c>
      <c r="H37" s="127">
        <f>LOOKUP(G37,112:112,113:113)-LOOKUP(C37,112:112,113:113)+100</f>
        <v>100</v>
      </c>
      <c r="I37" s="425">
        <v>1</v>
      </c>
      <c r="J37" s="127">
        <f>LOOKUP(I37,112:112,113:113)-LOOKUP(C37,112:112,113:113)+100</f>
        <v>100</v>
      </c>
      <c r="K37" s="377">
        <v>1</v>
      </c>
      <c r="L37" s="2708"/>
      <c r="M37" s="2709"/>
      <c r="N37" s="2709"/>
      <c r="O37" s="2709"/>
      <c r="P37" s="3763"/>
      <c r="Q37" s="1340" t="str">
        <f t="shared" si="11"/>
        <v>成新度</v>
      </c>
      <c r="R37" s="701" t="s">
        <v>18</v>
      </c>
      <c r="S37" s="702">
        <f t="shared" si="12"/>
        <v>100</v>
      </c>
      <c r="T37" s="701" t="s">
        <v>18</v>
      </c>
      <c r="U37" s="702">
        <f t="shared" si="13"/>
        <v>100</v>
      </c>
      <c r="V37" s="701" t="s">
        <v>18</v>
      </c>
      <c r="W37" s="702">
        <f t="shared" si="14"/>
        <v>100</v>
      </c>
      <c r="X37" s="703"/>
      <c r="Y37" s="3740"/>
      <c r="Z37" s="52" t="str">
        <f t="shared" si="18"/>
        <v>成新度</v>
      </c>
      <c r="AA37" s="704">
        <f t="shared" si="15"/>
        <v>1</v>
      </c>
      <c r="AB37" s="704">
        <f t="shared" si="16"/>
        <v>1</v>
      </c>
      <c r="AC37" s="704">
        <f t="shared" si="17"/>
        <v>1</v>
      </c>
    </row>
    <row r="38" spans="1:29" ht="15">
      <c r="A38" s="423"/>
      <c r="B38" s="375" t="s">
        <v>1699</v>
      </c>
      <c r="C38" s="1902" t="s">
        <v>3689</v>
      </c>
      <c r="D38" s="386">
        <v>100</v>
      </c>
      <c r="E38" s="1902" t="s">
        <v>3689</v>
      </c>
      <c r="F38" s="412">
        <f>SUMIF(114:114,E38,115:115)-SUMIF(114:114,C38,115:115)+100</f>
        <v>100</v>
      </c>
      <c r="G38" s="1902" t="s">
        <v>3689</v>
      </c>
      <c r="H38" s="386">
        <f>SUMIF(114:114,G38,115:115)-SUMIF(114:114,C38,115:115)+100</f>
        <v>100</v>
      </c>
      <c r="I38" s="1902" t="s">
        <v>3689</v>
      </c>
      <c r="J38" s="386">
        <f>SUMIF(114:114,I38,115:115)-SUMIF(114:114,C38,115:115)+100</f>
        <v>100</v>
      </c>
      <c r="K38" s="377">
        <v>2</v>
      </c>
      <c r="L38" s="2713"/>
      <c r="M38" s="2707"/>
      <c r="N38" s="2707"/>
      <c r="O38" s="2707"/>
      <c r="P38" s="3763" t="s">
        <v>1693</v>
      </c>
      <c r="Q38" s="1349" t="str">
        <f t="shared" si="11"/>
        <v>物业管理</v>
      </c>
      <c r="R38" s="705" t="s">
        <v>18</v>
      </c>
      <c r="S38" s="706">
        <f t="shared" si="12"/>
        <v>100</v>
      </c>
      <c r="T38" s="705" t="s">
        <v>18</v>
      </c>
      <c r="U38" s="706">
        <f t="shared" si="13"/>
        <v>100</v>
      </c>
      <c r="V38" s="705" t="s">
        <v>18</v>
      </c>
      <c r="W38" s="706">
        <f t="shared" si="14"/>
        <v>100</v>
      </c>
      <c r="X38" s="1352"/>
      <c r="Y38" s="3740" t="s">
        <v>1693</v>
      </c>
      <c r="Z38" s="1353" t="str">
        <f t="shared" si="18"/>
        <v>物业管理</v>
      </c>
      <c r="AA38" s="1350">
        <f t="shared" si="15"/>
        <v>1</v>
      </c>
      <c r="AB38" s="1350">
        <f t="shared" si="16"/>
        <v>1</v>
      </c>
      <c r="AC38" s="1350">
        <f t="shared" si="17"/>
        <v>1</v>
      </c>
    </row>
    <row r="39" spans="1:29" ht="15">
      <c r="A39" s="423"/>
      <c r="B39" s="375" t="s">
        <v>1700</v>
      </c>
      <c r="C39" s="1902" t="s">
        <v>3691</v>
      </c>
      <c r="D39" s="386">
        <v>100</v>
      </c>
      <c r="E39" s="1902" t="s">
        <v>3691</v>
      </c>
      <c r="F39" s="412">
        <f>SUMIF(116:116,E39,117:117)-SUMIF(116:116,C39,117:117)+100</f>
        <v>100</v>
      </c>
      <c r="G39" s="1902" t="s">
        <v>3691</v>
      </c>
      <c r="H39" s="386">
        <f>SUMIF(116:116,G39,117:117)-SUMIF(116:116,C39,117:117)+100</f>
        <v>100</v>
      </c>
      <c r="I39" s="1902" t="s">
        <v>3691</v>
      </c>
      <c r="J39" s="386">
        <f>SUMIF(116:116,I39,117:117)-SUMIF(116:116,C39,117:117)+100</f>
        <v>100</v>
      </c>
      <c r="K39" s="377">
        <v>1</v>
      </c>
      <c r="L39" s="2713"/>
      <c r="M39" s="2707"/>
      <c r="N39" s="2707"/>
      <c r="O39" s="2707"/>
      <c r="P39" s="3763"/>
      <c r="Q39" s="1349" t="str">
        <f t="shared" si="11"/>
        <v>市政基础设施</v>
      </c>
      <c r="R39" s="705" t="s">
        <v>18</v>
      </c>
      <c r="S39" s="706">
        <f t="shared" si="12"/>
        <v>100</v>
      </c>
      <c r="T39" s="705" t="s">
        <v>18</v>
      </c>
      <c r="U39" s="706">
        <f t="shared" si="13"/>
        <v>100</v>
      </c>
      <c r="V39" s="705" t="s">
        <v>18</v>
      </c>
      <c r="W39" s="706">
        <f t="shared" si="14"/>
        <v>100</v>
      </c>
      <c r="X39" s="1352"/>
      <c r="Y39" s="3740"/>
      <c r="Z39" s="1353" t="str">
        <f t="shared" si="18"/>
        <v>市政基础设施</v>
      </c>
      <c r="AA39" s="1350">
        <f t="shared" si="15"/>
        <v>1</v>
      </c>
      <c r="AB39" s="1350">
        <f t="shared" si="16"/>
        <v>1</v>
      </c>
      <c r="AC39" s="1350">
        <f t="shared" si="17"/>
        <v>1</v>
      </c>
    </row>
    <row r="40" spans="1:29" ht="15">
      <c r="A40" s="423"/>
      <c r="B40" s="375" t="s">
        <v>1701</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c r="L40" s="2713"/>
      <c r="M40" s="2707"/>
      <c r="N40" s="2707"/>
      <c r="O40" s="2707"/>
      <c r="P40" s="3763"/>
      <c r="Q40" s="1349" t="str">
        <f t="shared" si="11"/>
        <v>房型</v>
      </c>
      <c r="R40" s="705" t="s">
        <v>18</v>
      </c>
      <c r="S40" s="706">
        <f t="shared" si="12"/>
        <v>100</v>
      </c>
      <c r="T40" s="705" t="s">
        <v>18</v>
      </c>
      <c r="U40" s="706">
        <f t="shared" si="13"/>
        <v>100</v>
      </c>
      <c r="V40" s="705" t="s">
        <v>18</v>
      </c>
      <c r="W40" s="706">
        <f t="shared" si="14"/>
        <v>100</v>
      </c>
      <c r="X40" s="1352"/>
      <c r="Y40" s="3740"/>
      <c r="Z40" s="1353" t="str">
        <f t="shared" si="18"/>
        <v>房型</v>
      </c>
      <c r="AA40" s="1350">
        <f t="shared" si="15"/>
        <v>1</v>
      </c>
      <c r="AB40" s="1350">
        <f t="shared" si="16"/>
        <v>1</v>
      </c>
      <c r="AC40" s="1350">
        <f t="shared" si="17"/>
        <v>1</v>
      </c>
    </row>
    <row r="41" spans="1:29" s="422" customFormat="1" ht="28.5">
      <c r="A41" s="419"/>
      <c r="B41" s="375" t="s">
        <v>1702</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2"/>
      <c r="M41" s="2714"/>
      <c r="N41" s="2714"/>
      <c r="O41" s="2714"/>
      <c r="P41" s="3763"/>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0">
        <f t="shared" si="15"/>
        <v>1</v>
      </c>
      <c r="AB41" s="1350">
        <f t="shared" si="16"/>
        <v>1</v>
      </c>
      <c r="AC41" s="1350">
        <f t="shared" si="17"/>
        <v>1</v>
      </c>
    </row>
    <row r="42" spans="1:29" ht="15">
      <c r="A42" s="423"/>
      <c r="B42" s="375" t="s">
        <v>1703</v>
      </c>
      <c r="C42" s="1902" t="s">
        <v>3683</v>
      </c>
      <c r="D42" s="386">
        <v>100</v>
      </c>
      <c r="E42" s="1902" t="s">
        <v>3683</v>
      </c>
      <c r="F42" s="412">
        <f>SUMIF(122:122,E42,123:123)-SUMIF(122:122,C42,123:123)+100</f>
        <v>100</v>
      </c>
      <c r="G42" s="1902" t="s">
        <v>3683</v>
      </c>
      <c r="H42" s="386">
        <f>SUMIF(122:122,G42,123:123)-SUMIF(122:122,C42,123:123)+100</f>
        <v>100</v>
      </c>
      <c r="I42" s="1902" t="s">
        <v>3687</v>
      </c>
      <c r="J42" s="386">
        <f>SUMIF(122:122,I42,123:123)-SUMIF(122:122,C42,123:123)+100</f>
        <v>97</v>
      </c>
      <c r="K42" s="377">
        <v>1</v>
      </c>
      <c r="L42" s="2713"/>
      <c r="M42" s="2707"/>
      <c r="N42" s="2707"/>
      <c r="O42" s="2707"/>
      <c r="P42" s="3763"/>
      <c r="Q42" s="1349" t="str">
        <f t="shared" si="11"/>
        <v>内部装修</v>
      </c>
      <c r="R42" s="705" t="s">
        <v>18</v>
      </c>
      <c r="S42" s="706">
        <f t="shared" si="12"/>
        <v>100</v>
      </c>
      <c r="T42" s="705" t="s">
        <v>18</v>
      </c>
      <c r="U42" s="706">
        <f t="shared" si="13"/>
        <v>100</v>
      </c>
      <c r="V42" s="705" t="s">
        <v>18</v>
      </c>
      <c r="W42" s="706">
        <f t="shared" si="14"/>
        <v>97</v>
      </c>
      <c r="X42" s="1352"/>
      <c r="Y42" s="3740"/>
      <c r="Z42" s="1353" t="str">
        <f t="shared" si="18"/>
        <v>内部装修</v>
      </c>
      <c r="AA42" s="1350">
        <f t="shared" si="15"/>
        <v>1</v>
      </c>
      <c r="AB42" s="1350">
        <f t="shared" si="16"/>
        <v>1</v>
      </c>
      <c r="AC42" s="1350">
        <f t="shared" si="17"/>
        <v>1.0309278350515463</v>
      </c>
    </row>
    <row r="43" spans="1:29" ht="15">
      <c r="A43" s="423"/>
      <c r="B43" s="375" t="s">
        <v>1704</v>
      </c>
      <c r="C43" s="1902" t="s">
        <v>3452</v>
      </c>
      <c r="D43" s="386">
        <v>100</v>
      </c>
      <c r="E43" s="1902" t="s">
        <v>3452</v>
      </c>
      <c r="F43" s="412">
        <f>SUMIF(124:124,E43,125:125)-SUMIF(124:124,C43,125:125)+100</f>
        <v>100</v>
      </c>
      <c r="G43" s="1902" t="s">
        <v>3452</v>
      </c>
      <c r="H43" s="386">
        <f>SUMIF(124:124,G43,125:125)-SUMIF(124:124,C43,125:125)+100</f>
        <v>100</v>
      </c>
      <c r="I43" s="1902" t="s">
        <v>3452</v>
      </c>
      <c r="J43" s="386">
        <f>SUMIF(124:124,I43,125:125)-SUMIF(124:124,C43,125:125)+100</f>
        <v>100</v>
      </c>
      <c r="K43" s="377">
        <v>2</v>
      </c>
      <c r="L43" s="2713"/>
      <c r="M43" s="2707"/>
      <c r="N43" s="2707"/>
      <c r="O43" s="2707"/>
      <c r="P43" s="3763"/>
      <c r="Q43" s="1349" t="str">
        <f t="shared" si="11"/>
        <v>内部装修维护情况</v>
      </c>
      <c r="R43" s="705" t="s">
        <v>18</v>
      </c>
      <c r="S43" s="706">
        <f t="shared" si="12"/>
        <v>100</v>
      </c>
      <c r="T43" s="705" t="s">
        <v>18</v>
      </c>
      <c r="U43" s="706">
        <f t="shared" si="13"/>
        <v>100</v>
      </c>
      <c r="V43" s="705" t="s">
        <v>18</v>
      </c>
      <c r="W43" s="706">
        <f t="shared" si="14"/>
        <v>100</v>
      </c>
      <c r="X43" s="1352"/>
      <c r="Y43" s="3740"/>
      <c r="Z43" s="1353" t="str">
        <f t="shared" si="18"/>
        <v>内部装修维护情况</v>
      </c>
      <c r="AA43" s="1350">
        <f t="shared" si="15"/>
        <v>1</v>
      </c>
      <c r="AB43" s="1350">
        <f t="shared" si="16"/>
        <v>1</v>
      </c>
      <c r="AC43" s="1350">
        <f t="shared" si="17"/>
        <v>1</v>
      </c>
    </row>
    <row r="44" spans="1:29" s="108" customFormat="1" ht="15">
      <c r="A44" s="424"/>
      <c r="B44" s="3504" t="s">
        <v>3679</v>
      </c>
      <c r="C44" s="3505" t="s">
        <v>3681</v>
      </c>
      <c r="D44" s="127">
        <v>100</v>
      </c>
      <c r="E44" s="3505" t="s">
        <v>3681</v>
      </c>
      <c r="F44" s="376">
        <f>SUMIF(126:126,E44,127:127)-SUMIF(126:126,C44,127:127)+100</f>
        <v>100</v>
      </c>
      <c r="G44" s="3505" t="s">
        <v>3681</v>
      </c>
      <c r="H44" s="127">
        <f>SUMIF(126:126,G44,127:127)-SUMIF(126:126,C44,127:127)+100</f>
        <v>100</v>
      </c>
      <c r="I44" s="3505" t="s">
        <v>3680</v>
      </c>
      <c r="J44" s="127">
        <f>SUMIF(126:126,I44,127:127)-SUMIF(126:126,C44,127:127)+100</f>
        <v>115</v>
      </c>
      <c r="K44" s="1890"/>
      <c r="L44" s="2708"/>
      <c r="M44" s="2709"/>
      <c r="N44" s="2709"/>
      <c r="O44" s="2709"/>
      <c r="P44" s="3763"/>
      <c r="Q44" s="1340" t="str">
        <f t="shared" si="11"/>
        <v>现房</v>
      </c>
      <c r="R44" s="701" t="s">
        <v>18</v>
      </c>
      <c r="S44" s="702">
        <f t="shared" si="12"/>
        <v>100</v>
      </c>
      <c r="T44" s="701" t="s">
        <v>18</v>
      </c>
      <c r="U44" s="702">
        <f t="shared" si="13"/>
        <v>100</v>
      </c>
      <c r="V44" s="701" t="s">
        <v>18</v>
      </c>
      <c r="W44" s="702">
        <f t="shared" si="14"/>
        <v>115</v>
      </c>
      <c r="X44" s="703"/>
      <c r="Y44" s="3740"/>
      <c r="Z44" s="52" t="str">
        <f t="shared" si="18"/>
        <v>现房</v>
      </c>
      <c r="AA44" s="704">
        <f t="shared" si="15"/>
        <v>1</v>
      </c>
      <c r="AB44" s="704">
        <f t="shared" si="16"/>
        <v>1</v>
      </c>
      <c r="AC44" s="704">
        <f t="shared" si="17"/>
        <v>0.86956521739130432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763"/>
      <c r="Q45" s="1349">
        <f t="shared" si="11"/>
        <v>111</v>
      </c>
      <c r="R45" s="705" t="s">
        <v>18</v>
      </c>
      <c r="S45" s="706">
        <f t="shared" si="12"/>
        <v>100</v>
      </c>
      <c r="T45" s="705" t="s">
        <v>18</v>
      </c>
      <c r="U45" s="706">
        <f t="shared" si="13"/>
        <v>100</v>
      </c>
      <c r="V45" s="705" t="s">
        <v>18</v>
      </c>
      <c r="W45" s="706">
        <f t="shared" si="14"/>
        <v>100</v>
      </c>
      <c r="X45" s="1352"/>
      <c r="Y45" s="3740"/>
      <c r="Z45" s="1353">
        <f t="shared" si="18"/>
        <v>111</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764"/>
      <c r="Q46" s="1349">
        <f t="shared" si="11"/>
        <v>111</v>
      </c>
      <c r="R46" s="705" t="s">
        <v>17</v>
      </c>
      <c r="S46" s="706">
        <f t="shared" si="12"/>
        <v>100</v>
      </c>
      <c r="T46" s="705" t="s">
        <v>17</v>
      </c>
      <c r="U46" s="706">
        <f t="shared" si="13"/>
        <v>100</v>
      </c>
      <c r="V46" s="705" t="s">
        <v>17</v>
      </c>
      <c r="W46" s="706">
        <f t="shared" si="14"/>
        <v>100</v>
      </c>
      <c r="X46" s="1352"/>
      <c r="Y46" s="3765"/>
      <c r="Z46" s="1353">
        <f t="shared" si="18"/>
        <v>111</v>
      </c>
      <c r="AA46" s="1350">
        <f t="shared" si="15"/>
        <v>1</v>
      </c>
      <c r="AB46" s="1350">
        <f t="shared" si="16"/>
        <v>1</v>
      </c>
      <c r="AC46" s="1350">
        <f t="shared" si="17"/>
        <v>1</v>
      </c>
    </row>
    <row r="47" spans="1:29" ht="15">
      <c r="A47" s="430" t="s">
        <v>1705</v>
      </c>
      <c r="B47" s="431"/>
      <c r="C47" s="1154" t="s">
        <v>16</v>
      </c>
      <c r="D47" s="1155"/>
      <c r="E47" s="1156">
        <v>23416</v>
      </c>
      <c r="F47" s="1157"/>
      <c r="G47" s="1158">
        <v>23800</v>
      </c>
      <c r="H47" s="1159"/>
      <c r="I47" s="1156">
        <v>25920</v>
      </c>
      <c r="J47" s="1159"/>
      <c r="K47" s="1908"/>
      <c r="L47" s="2715"/>
      <c r="M47" s="2716"/>
      <c r="N47" s="2707"/>
      <c r="O47" s="2716"/>
      <c r="P47" s="3722" t="str">
        <f>A47</f>
        <v>成交单价（元/平方米）</v>
      </c>
      <c r="Q47" s="3722"/>
      <c r="R47" s="3761">
        <f>E47</f>
        <v>23416</v>
      </c>
      <c r="S47" s="3761"/>
      <c r="T47" s="3761">
        <f>G47</f>
        <v>23800</v>
      </c>
      <c r="U47" s="3761"/>
      <c r="V47" s="3761">
        <f>I47</f>
        <v>25920</v>
      </c>
      <c r="W47" s="3761"/>
      <c r="X47" s="690"/>
      <c r="Y47" s="712"/>
      <c r="Z47" s="690"/>
      <c r="AA47" s="690"/>
      <c r="AB47" s="690"/>
      <c r="AC47" s="690"/>
    </row>
    <row r="48" spans="1:29" ht="15.75" thickBot="1">
      <c r="A48" s="437" t="s">
        <v>1706</v>
      </c>
      <c r="B48" s="438"/>
      <c r="C48" s="1160">
        <f>R49</f>
        <v>23651</v>
      </c>
      <c r="D48" s="2310" t="s">
        <v>2134</v>
      </c>
      <c r="E48" s="1161">
        <f>R48</f>
        <v>22957</v>
      </c>
      <c r="F48" s="2311"/>
      <c r="G48" s="1160">
        <f>T48</f>
        <v>24286</v>
      </c>
      <c r="H48" s="2311"/>
      <c r="I48" s="1161">
        <f>V48</f>
        <v>23710</v>
      </c>
      <c r="J48" s="2311"/>
      <c r="K48" s="2312">
        <f>F48+H48+J48</f>
        <v>0</v>
      </c>
      <c r="L48" s="2715"/>
      <c r="M48" s="2716"/>
      <c r="N48" s="2716"/>
      <c r="O48" s="2716"/>
      <c r="P48" s="3722" t="str">
        <f>A48</f>
        <v>比较价值（元/平方米）</v>
      </c>
      <c r="Q48" s="3722"/>
      <c r="R48" s="3761">
        <f>IF(F1="售价",ROUND(PRODUCT(R47,AA7:AA46),0),ROUND(PRODUCT(R47,AA7:AA46),1))</f>
        <v>22957</v>
      </c>
      <c r="S48" s="3761"/>
      <c r="T48" s="3761">
        <f>IF(F1="售价",ROUND(PRODUCT(T47,AB7:AB46),0),ROUND(PRODUCT(T47,AB7:AB46),1))</f>
        <v>24286</v>
      </c>
      <c r="U48" s="3761"/>
      <c r="V48" s="3761">
        <f>IF(F1="售价",ROUND(PRODUCT(V47,AC7:AC46),0),ROUND(PRODUCT(V47,AC7:AC46),1))</f>
        <v>23710</v>
      </c>
      <c r="W48" s="3761"/>
      <c r="X48" s="690"/>
      <c r="Y48" s="690"/>
      <c r="Z48" s="690"/>
      <c r="AA48" s="690"/>
      <c r="AB48" s="690"/>
      <c r="AC48" s="690"/>
    </row>
    <row r="49" spans="1:29" ht="15.75" thickBot="1">
      <c r="A49" s="441" t="s">
        <v>1707</v>
      </c>
      <c r="B49" s="442"/>
      <c r="C49" s="1162">
        <f>R49</f>
        <v>23651</v>
      </c>
      <c r="D49" s="1163"/>
      <c r="E49" s="1163"/>
      <c r="F49" s="1163"/>
      <c r="G49" s="1163"/>
      <c r="H49" s="1163"/>
      <c r="I49" s="1163"/>
      <c r="J49" s="1163"/>
      <c r="K49" s="1909"/>
      <c r="L49" s="2715"/>
      <c r="M49" s="2716"/>
      <c r="N49" s="2716"/>
      <c r="O49" s="2716"/>
      <c r="P49" s="3742" t="str">
        <f>A49</f>
        <v>估价对象XX用房的比较价值（楼面单价，元/平方米）</v>
      </c>
      <c r="Q49" s="3743"/>
      <c r="R49" s="3760">
        <f>IF(F1="售价",ROUND(IF(D48="简单平均",AVERAGE(R48:V48),R48*F48+T48*H48+V48*J48),0),ROUND(IF(D48="简单平均",AVERAGE(R48:V48),R48*F48+T48*H48+V48*J48),1))</f>
        <v>23651</v>
      </c>
      <c r="S49" s="3760"/>
      <c r="T49" s="3760"/>
      <c r="U49" s="3760"/>
      <c r="V49" s="3760"/>
      <c r="W49" s="3760"/>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6" t="s">
        <v>1708</v>
      </c>
      <c r="D52" s="447"/>
      <c r="E52" s="448">
        <f>IF(E47&lt;E48,E48/E47-1,E47/E48-1)</f>
        <v>1.9993901642200607E-2</v>
      </c>
      <c r="F52" s="449" t="str">
        <f>IF(OR(E52&gt;=0.3,E52&lt;=-0.3),"超过30%","")</f>
        <v/>
      </c>
      <c r="G52" s="448">
        <f>IF(G47&lt;G48,G48/G47-1,G47/G48-1)</f>
        <v>2.0420168067226907E-2</v>
      </c>
      <c r="H52" s="449" t="str">
        <f>IF(OR(G52&gt;=0.3,G52&lt;=-0.3),"超过30%","")</f>
        <v/>
      </c>
      <c r="I52" s="448">
        <f>IF(I47&lt;I48,I48/I47-1,I47/I48-1)</f>
        <v>9.320961619569812E-2</v>
      </c>
      <c r="J52" s="449" t="str">
        <f>IF(OR(I52&gt;=0.3,I52&lt;=-0.3),"超过30%","")</f>
        <v/>
      </c>
      <c r="K52" s="2721"/>
      <c r="L52" s="2717"/>
      <c r="M52" s="2716"/>
      <c r="N52" s="2716"/>
      <c r="O52" s="2716"/>
    </row>
    <row r="53" spans="1:29" ht="13.5" customHeight="1">
      <c r="A53" s="2716"/>
      <c r="B53" s="2716"/>
      <c r="C53" s="446" t="s">
        <v>1709</v>
      </c>
      <c r="D53" s="450"/>
      <c r="E53" s="448">
        <f>IF(E48&lt;G48,G48/E48-1,E48/G48-1)</f>
        <v>5.7890839395391414E-2</v>
      </c>
      <c r="F53" s="449" t="str">
        <f>IF(OR(E53&gt;=0.2,E53&lt;=-0.2),"超过20%","")</f>
        <v/>
      </c>
      <c r="G53" s="448">
        <f>IF(G48&lt;I48,I48/G48-1,G48/I48-1)</f>
        <v>2.429354702657105E-2</v>
      </c>
      <c r="H53" s="449" t="str">
        <f>IF(OR(G53&gt;=0.2,G53&lt;=-0.2),"超过20%","")</f>
        <v/>
      </c>
      <c r="I53" s="448">
        <f>IF(I48&lt;E48,E48/I48-1,I48/E48-1)</f>
        <v>3.2800453020865206E-2</v>
      </c>
      <c r="J53" s="449" t="str">
        <f>IF(OR(I53&gt;=0.2,I53&lt;=-0.2),"超过20%","")</f>
        <v/>
      </c>
      <c r="K53" s="2721"/>
      <c r="L53" s="2717"/>
      <c r="M53" s="2716"/>
      <c r="N53" s="2716"/>
      <c r="O53" s="2716"/>
    </row>
    <row r="54" spans="1:29" s="451" customFormat="1" ht="13.5" customHeight="1">
      <c r="A54" s="2719"/>
      <c r="B54" s="2719"/>
      <c r="C54" s="446" t="s">
        <v>1710</v>
      </c>
      <c r="D54" s="450"/>
      <c r="E54" s="448">
        <f>IF(E47&lt;G47,G47/E47-1,E47/G47-1)</f>
        <v>1.639904338913567E-2</v>
      </c>
      <c r="F54" s="449" t="str">
        <f>IF(OR(E54&gt;=0.3,E54&lt;=-0.3),"超过30%","")</f>
        <v/>
      </c>
      <c r="G54" s="448">
        <f>IF(G47&lt;I47,I47/G47-1,G47/I47-1)</f>
        <v>8.9075630252100746E-2</v>
      </c>
      <c r="H54" s="449" t="str">
        <f>IF(OR(G54&gt;=0.3,G54&lt;=-0.3),"超过30%","")</f>
        <v/>
      </c>
      <c r="I54" s="448">
        <f>IF(I47&lt;E47,E47/I47-1,I47/E47-1)</f>
        <v>0.10693542876665529</v>
      </c>
      <c r="J54" s="449" t="str">
        <f>IF(OR(I54&gt;=0.3,I54&lt;=-0.3),"超过30%","")</f>
        <v/>
      </c>
      <c r="K54" s="2724"/>
      <c r="L54" s="2718"/>
      <c r="M54" s="2719"/>
      <c r="N54" s="2719"/>
      <c r="O54" s="2719"/>
      <c r="P54" s="1911"/>
    </row>
    <row r="55" spans="1:29" s="451" customFormat="1">
      <c r="A55" s="2719"/>
      <c r="B55" s="2722"/>
      <c r="C55" s="2723"/>
      <c r="D55" s="2719"/>
      <c r="E55" s="2719"/>
      <c r="F55" s="2719"/>
      <c r="G55" s="2719"/>
      <c r="H55" s="2719"/>
      <c r="I55" s="2719"/>
      <c r="J55" s="2719"/>
      <c r="K55" s="2724"/>
      <c r="L55" s="2718"/>
      <c r="M55" s="2719"/>
      <c r="N55" s="2719"/>
      <c r="O55" s="2719"/>
      <c r="P55" s="1911"/>
    </row>
    <row r="56" spans="1:29">
      <c r="A56" s="2716"/>
      <c r="B56" s="2722"/>
      <c r="C56" s="2723"/>
      <c r="D56" s="2716"/>
      <c r="E56" s="2716"/>
      <c r="F56" s="2716"/>
      <c r="G56" s="2716"/>
      <c r="H56" s="2716"/>
      <c r="I56" s="2716"/>
      <c r="J56" s="2716"/>
      <c r="K56" s="2721"/>
      <c r="L56" s="2717"/>
      <c r="M56" s="2716"/>
      <c r="N56" s="2716"/>
      <c r="O56" s="2716"/>
    </row>
    <row r="57" spans="1:29" ht="21.75" thickBot="1">
      <c r="A57" s="694" t="s">
        <v>1711</v>
      </c>
      <c r="B57" s="690"/>
      <c r="C57" s="695"/>
      <c r="D57" s="695"/>
      <c r="E57" s="695"/>
      <c r="F57" s="696"/>
      <c r="G57" s="696"/>
      <c r="H57" s="695"/>
      <c r="I57" s="695"/>
      <c r="J57" s="695"/>
      <c r="K57" s="941"/>
      <c r="L57" s="942"/>
      <c r="M57" s="940"/>
      <c r="N57" s="940"/>
      <c r="O57" s="940"/>
      <c r="P57" s="1912"/>
      <c r="Q57" s="453"/>
    </row>
    <row r="58" spans="1:29" s="457" customFormat="1" ht="15">
      <c r="A58" s="454" t="s">
        <v>1712</v>
      </c>
      <c r="B58" s="455"/>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8"/>
      <c r="B59" s="1913"/>
      <c r="C59" s="1180">
        <v>100</v>
      </c>
      <c r="D59" s="460">
        <v>100</v>
      </c>
      <c r="E59" s="461"/>
      <c r="F59" s="461"/>
      <c r="G59" s="461"/>
      <c r="H59" s="461"/>
      <c r="I59" s="461"/>
      <c r="J59" s="461"/>
      <c r="K59" s="461"/>
      <c r="L59" s="461"/>
      <c r="M59" s="462"/>
      <c r="N59" s="461"/>
      <c r="O59" s="462"/>
      <c r="P59" s="1914"/>
    </row>
    <row r="60" spans="1:29" s="108" customFormat="1" ht="15.75" thickBot="1">
      <c r="A60" s="464" t="s">
        <v>1713</v>
      </c>
      <c r="B60" s="465"/>
      <c r="C60" s="466"/>
      <c r="D60" s="467"/>
      <c r="E60" s="467"/>
      <c r="F60" s="467"/>
      <c r="G60" s="467"/>
      <c r="H60" s="467"/>
      <c r="I60" s="467"/>
      <c r="J60" s="467"/>
      <c r="K60" s="467"/>
      <c r="L60" s="467"/>
      <c r="M60" s="468"/>
      <c r="N60" s="467"/>
      <c r="O60" s="468"/>
      <c r="P60" s="1914"/>
      <c r="Q60" s="453"/>
    </row>
    <row r="61" spans="1:29" s="108" customFormat="1" ht="15">
      <c r="A61" s="470" t="s">
        <v>1714</v>
      </c>
      <c r="B61" s="459"/>
      <c r="C61" s="471" t="s">
        <v>1715</v>
      </c>
      <c r="D61" s="472"/>
      <c r="E61" s="472"/>
      <c r="F61" s="472"/>
      <c r="G61" s="472"/>
      <c r="H61" s="472"/>
      <c r="I61" s="472"/>
      <c r="J61" s="472"/>
      <c r="K61" s="472"/>
      <c r="L61" s="473"/>
      <c r="M61" s="474"/>
      <c r="N61" s="932"/>
      <c r="O61" s="932"/>
      <c r="P61" s="1915"/>
      <c r="Q61" s="453"/>
    </row>
    <row r="62" spans="1:29" s="108" customFormat="1" ht="15.75" thickBot="1">
      <c r="A62" s="470"/>
      <c r="B62" s="459"/>
      <c r="C62" s="460">
        <v>100</v>
      </c>
      <c r="D62" s="461"/>
      <c r="E62" s="461"/>
      <c r="F62" s="461"/>
      <c r="G62" s="461"/>
      <c r="H62" s="461"/>
      <c r="I62" s="461"/>
      <c r="J62" s="461"/>
      <c r="K62" s="461"/>
      <c r="L62" s="461"/>
      <c r="M62" s="463"/>
      <c r="N62" s="932"/>
      <c r="O62" s="932"/>
      <c r="P62" s="1914"/>
      <c r="Q62" s="453"/>
    </row>
    <row r="63" spans="1:29">
      <c r="A63" s="476" t="s">
        <v>1716</v>
      </c>
      <c r="B63" s="477" t="s">
        <v>1682</v>
      </c>
      <c r="C63" s="478" t="str">
        <f>C9</f>
        <v>住宅</v>
      </c>
      <c r="D63" s="479"/>
      <c r="E63" s="479"/>
      <c r="F63" s="479"/>
      <c r="G63" s="479"/>
      <c r="H63" s="479"/>
      <c r="I63" s="479"/>
      <c r="J63" s="479"/>
      <c r="K63" s="480"/>
      <c r="L63" s="481"/>
      <c r="M63" s="482"/>
      <c r="N63" s="933"/>
      <c r="O63" s="933"/>
      <c r="P63" s="1916"/>
      <c r="Q63" s="453"/>
    </row>
    <row r="64" spans="1:29" ht="15.75" thickBot="1">
      <c r="A64" s="483"/>
      <c r="B64" s="484"/>
      <c r="C64" s="485">
        <v>100</v>
      </c>
      <c r="D64" s="485"/>
      <c r="E64" s="485"/>
      <c r="F64" s="485"/>
      <c r="G64" s="485"/>
      <c r="H64" s="485"/>
      <c r="I64" s="485"/>
      <c r="J64" s="485"/>
      <c r="K64" s="485"/>
      <c r="L64" s="485"/>
      <c r="M64" s="486"/>
      <c r="N64" s="934"/>
      <c r="O64" s="934"/>
      <c r="P64" s="1916"/>
      <c r="Q64" s="453"/>
    </row>
    <row r="65" spans="1:17" ht="27.75" thickTop="1">
      <c r="A65" s="483"/>
      <c r="B65" s="487" t="s">
        <v>1685</v>
      </c>
      <c r="C65" s="532"/>
      <c r="D65" s="532"/>
      <c r="E65" s="532"/>
      <c r="F65" s="532"/>
      <c r="G65" s="532"/>
      <c r="H65" s="532"/>
      <c r="I65" s="532"/>
      <c r="J65" s="532"/>
      <c r="K65" s="532"/>
      <c r="L65" s="532"/>
      <c r="M65" s="532"/>
      <c r="N65" s="934"/>
      <c r="O65" s="934"/>
      <c r="P65" s="1916"/>
      <c r="Q65" s="453"/>
    </row>
    <row r="66" spans="1:17" ht="15.75" thickBot="1">
      <c r="A66" s="483"/>
      <c r="B66" s="492"/>
      <c r="C66" s="485"/>
      <c r="D66" s="485"/>
      <c r="E66" s="485"/>
      <c r="F66" s="485"/>
      <c r="G66" s="485"/>
      <c r="H66" s="485"/>
      <c r="I66" s="485"/>
      <c r="J66" s="485"/>
      <c r="K66" s="485"/>
      <c r="L66" s="485"/>
      <c r="M66" s="486"/>
      <c r="N66" s="934"/>
      <c r="O66" s="934"/>
      <c r="P66" s="1916"/>
      <c r="Q66" s="453"/>
    </row>
    <row r="67" spans="1:17" ht="15.75" thickTop="1">
      <c r="A67" s="483"/>
      <c r="B67" s="495" t="s">
        <v>1686</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16"/>
      <c r="Q67" s="453"/>
    </row>
    <row r="68" spans="1:17" ht="15">
      <c r="A68" s="483"/>
      <c r="B68" s="497"/>
      <c r="C68" s="498">
        <v>0</v>
      </c>
      <c r="D68" s="498">
        <v>1</v>
      </c>
      <c r="E68" s="498">
        <v>2</v>
      </c>
      <c r="F68" s="498">
        <v>3</v>
      </c>
      <c r="G68" s="498">
        <v>4</v>
      </c>
      <c r="H68" s="498">
        <v>5</v>
      </c>
      <c r="I68" s="498"/>
      <c r="J68" s="498"/>
      <c r="K68" s="499"/>
      <c r="L68" s="500"/>
      <c r="M68" s="501"/>
      <c r="N68" s="933"/>
      <c r="O68" s="933"/>
      <c r="P68" s="1916"/>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6"/>
      <c r="Q69" s="453"/>
    </row>
    <row r="70" spans="1:17" s="422" customFormat="1" ht="15.75" thickTop="1">
      <c r="A70" s="502"/>
      <c r="B70" s="487">
        <f>B12</f>
        <v>111</v>
      </c>
      <c r="C70" s="503"/>
      <c r="D70" s="503"/>
      <c r="E70" s="503"/>
      <c r="F70" s="503"/>
      <c r="G70" s="503"/>
      <c r="H70" s="504"/>
      <c r="I70" s="504"/>
      <c r="J70" s="504"/>
      <c r="K70" s="504"/>
      <c r="L70" s="505"/>
      <c r="M70" s="506"/>
      <c r="N70" s="935"/>
      <c r="O70" s="935"/>
      <c r="P70" s="1917"/>
      <c r="Q70" s="508"/>
    </row>
    <row r="71" spans="1:17" s="422" customFormat="1" ht="15.75" thickBot="1">
      <c r="A71" s="502"/>
      <c r="B71" s="492"/>
      <c r="C71" s="509"/>
      <c r="D71" s="485"/>
      <c r="E71" s="485"/>
      <c r="F71" s="485"/>
      <c r="G71" s="485"/>
      <c r="H71" s="485"/>
      <c r="I71" s="485"/>
      <c r="J71" s="485"/>
      <c r="K71" s="485"/>
      <c r="L71" s="485"/>
      <c r="M71" s="486"/>
      <c r="N71" s="934"/>
      <c r="O71" s="934"/>
      <c r="P71" s="1917"/>
      <c r="Q71" s="508"/>
    </row>
    <row r="72" spans="1:17" s="422" customFormat="1" ht="15.75" thickTop="1">
      <c r="A72" s="502"/>
      <c r="B72" s="487">
        <f>B13</f>
        <v>111</v>
      </c>
      <c r="C72" s="503"/>
      <c r="D72" s="503"/>
      <c r="E72" s="503"/>
      <c r="F72" s="503"/>
      <c r="G72" s="503"/>
      <c r="H72" s="504"/>
      <c r="I72" s="504"/>
      <c r="J72" s="504"/>
      <c r="K72" s="504"/>
      <c r="L72" s="505"/>
      <c r="M72" s="506"/>
      <c r="N72" s="935"/>
      <c r="O72" s="935"/>
      <c r="P72" s="1918"/>
      <c r="Q72" s="510"/>
    </row>
    <row r="73" spans="1:17" s="422" customFormat="1" ht="15.75" thickBot="1">
      <c r="A73" s="502"/>
      <c r="B73" s="492"/>
      <c r="C73" s="509"/>
      <c r="D73" s="509"/>
      <c r="E73" s="509"/>
      <c r="F73" s="509"/>
      <c r="G73" s="509"/>
      <c r="H73" s="511"/>
      <c r="I73" s="511"/>
      <c r="J73" s="511"/>
      <c r="K73" s="511"/>
      <c r="L73" s="511"/>
      <c r="M73" s="512"/>
      <c r="N73" s="935"/>
      <c r="O73" s="935"/>
      <c r="P73" s="1917"/>
      <c r="Q73" s="508"/>
    </row>
    <row r="74" spans="1:17" s="422" customFormat="1" ht="15.75" thickTop="1">
      <c r="A74" s="502"/>
      <c r="B74" s="495">
        <f>B14</f>
        <v>111</v>
      </c>
      <c r="C74" s="503"/>
      <c r="D74" s="503"/>
      <c r="E74" s="503"/>
      <c r="F74" s="503"/>
      <c r="G74" s="472"/>
      <c r="H74" s="513"/>
      <c r="I74" s="513"/>
      <c r="J74" s="513"/>
      <c r="K74" s="513"/>
      <c r="L74" s="514"/>
      <c r="M74" s="515"/>
      <c r="N74" s="935"/>
      <c r="O74" s="935"/>
      <c r="P74" s="1919"/>
      <c r="Q74" s="508"/>
    </row>
    <row r="75" spans="1:17" s="422" customFormat="1" ht="15.75" thickBot="1">
      <c r="A75" s="517"/>
      <c r="B75" s="518"/>
      <c r="C75" s="519"/>
      <c r="D75" s="519"/>
      <c r="E75" s="519"/>
      <c r="F75" s="519"/>
      <c r="G75" s="519"/>
      <c r="H75" s="520"/>
      <c r="I75" s="520"/>
      <c r="J75" s="520"/>
      <c r="K75" s="520"/>
      <c r="L75" s="520"/>
      <c r="M75" s="521"/>
      <c r="N75" s="935"/>
      <c r="O75" s="935"/>
      <c r="P75" s="1917"/>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0"/>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4"/>
      <c r="O77" s="934"/>
      <c r="P77" s="1916"/>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16"/>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6"/>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16"/>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6"/>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16"/>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6"/>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16"/>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6"/>
      <c r="Q85" s="453"/>
    </row>
    <row r="86" spans="1:17" s="108" customFormat="1" ht="15.75" thickTop="1">
      <c r="A86" s="528"/>
      <c r="B86" s="487" t="s">
        <v>1731</v>
      </c>
      <c r="C86" s="503"/>
      <c r="D86" s="503"/>
      <c r="E86" s="503"/>
      <c r="F86" s="503"/>
      <c r="G86" s="503"/>
      <c r="H86" s="503"/>
      <c r="I86" s="503"/>
      <c r="J86" s="503"/>
      <c r="K86" s="503"/>
      <c r="L86" s="529"/>
      <c r="M86" s="530"/>
      <c r="N86" s="932"/>
      <c r="O86" s="932"/>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6"/>
      <c r="Q87" s="453"/>
    </row>
    <row r="88" spans="1:17" s="108" customFormat="1" ht="15.75" thickTop="1">
      <c r="A88" s="528"/>
      <c r="B88" s="487" t="s">
        <v>1732</v>
      </c>
      <c r="C88" s="503"/>
      <c r="D88" s="503"/>
      <c r="E88" s="503"/>
      <c r="F88" s="1921"/>
      <c r="G88" s="503"/>
      <c r="H88" s="503"/>
      <c r="I88" s="503"/>
      <c r="J88" s="503"/>
      <c r="K88" s="503"/>
      <c r="L88" s="503"/>
      <c r="M88" s="530"/>
      <c r="N88" s="932"/>
      <c r="O88" s="932"/>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6"/>
      <c r="Q89" s="453"/>
    </row>
    <row r="90" spans="1:17" s="422" customFormat="1" ht="15.75" thickTop="1">
      <c r="A90" s="502"/>
      <c r="B90" s="487">
        <f>B27</f>
        <v>111</v>
      </c>
      <c r="C90" s="503"/>
      <c r="D90" s="503"/>
      <c r="E90" s="503"/>
      <c r="F90" s="503"/>
      <c r="G90" s="503"/>
      <c r="H90" s="504"/>
      <c r="I90" s="504"/>
      <c r="J90" s="504"/>
      <c r="K90" s="504"/>
      <c r="L90" s="505"/>
      <c r="M90" s="506"/>
      <c r="N90" s="935"/>
      <c r="O90" s="935"/>
      <c r="P90" s="1917"/>
      <c r="Q90" s="508"/>
    </row>
    <row r="91" spans="1:17" s="422" customFormat="1" ht="15.75" thickBot="1">
      <c r="A91" s="502"/>
      <c r="B91" s="492"/>
      <c r="C91" s="509"/>
      <c r="D91" s="509"/>
      <c r="E91" s="509"/>
      <c r="F91" s="509"/>
      <c r="G91" s="509"/>
      <c r="H91" s="511"/>
      <c r="I91" s="511"/>
      <c r="J91" s="511"/>
      <c r="K91" s="511"/>
      <c r="L91" s="511"/>
      <c r="M91" s="512"/>
      <c r="N91" s="935"/>
      <c r="O91" s="935"/>
      <c r="P91" s="1917"/>
      <c r="Q91" s="508"/>
    </row>
    <row r="92" spans="1:17" ht="15.75" thickTop="1">
      <c r="A92" s="483"/>
      <c r="B92" s="487">
        <f>B28</f>
        <v>111</v>
      </c>
      <c r="C92" s="503"/>
      <c r="D92" s="503"/>
      <c r="E92" s="503"/>
      <c r="F92" s="503"/>
      <c r="G92" s="532"/>
      <c r="H92" s="532"/>
      <c r="I92" s="532"/>
      <c r="J92" s="532"/>
      <c r="K92" s="533"/>
      <c r="L92" s="534"/>
      <c r="M92" s="535"/>
      <c r="N92" s="933"/>
      <c r="O92" s="933"/>
      <c r="P92" s="1916"/>
      <c r="Q92" s="453"/>
    </row>
    <row r="93" spans="1:17" ht="15.75" thickBot="1">
      <c r="A93" s="483"/>
      <c r="B93" s="492"/>
      <c r="C93" s="509"/>
      <c r="D93" s="485"/>
      <c r="E93" s="485"/>
      <c r="F93" s="485"/>
      <c r="G93" s="485"/>
      <c r="H93" s="485"/>
      <c r="I93" s="485"/>
      <c r="J93" s="485"/>
      <c r="K93" s="485"/>
      <c r="L93" s="485"/>
      <c r="M93" s="486"/>
      <c r="N93" s="934"/>
      <c r="O93" s="934"/>
      <c r="P93" s="1916"/>
      <c r="Q93" s="453"/>
    </row>
    <row r="94" spans="1:17" ht="15.75" thickTop="1">
      <c r="A94" s="483"/>
      <c r="B94" s="487">
        <f>B29</f>
        <v>111</v>
      </c>
      <c r="C94" s="503"/>
      <c r="D94" s="503"/>
      <c r="E94" s="503"/>
      <c r="F94" s="503"/>
      <c r="G94" s="532"/>
      <c r="H94" s="532"/>
      <c r="I94" s="532"/>
      <c r="J94" s="532"/>
      <c r="K94" s="533"/>
      <c r="L94" s="534"/>
      <c r="M94" s="535"/>
      <c r="N94" s="933"/>
      <c r="O94" s="933"/>
      <c r="P94" s="1916"/>
      <c r="Q94" s="453"/>
    </row>
    <row r="95" spans="1:17" ht="15.75" thickBot="1">
      <c r="A95" s="483"/>
      <c r="B95" s="492"/>
      <c r="C95" s="509"/>
      <c r="D95" s="509"/>
      <c r="E95" s="509"/>
      <c r="F95" s="509"/>
      <c r="G95" s="485"/>
      <c r="H95" s="485"/>
      <c r="I95" s="485"/>
      <c r="J95" s="485"/>
      <c r="K95" s="485"/>
      <c r="L95" s="485"/>
      <c r="M95" s="486"/>
      <c r="N95" s="934"/>
      <c r="O95" s="934"/>
      <c r="P95" s="1916"/>
      <c r="Q95" s="453"/>
    </row>
    <row r="96" spans="1:17" ht="15.75" thickTop="1">
      <c r="A96" s="483"/>
      <c r="B96" s="487">
        <f>B30</f>
        <v>111</v>
      </c>
      <c r="C96" s="503"/>
      <c r="D96" s="503"/>
      <c r="E96" s="503"/>
      <c r="F96" s="503"/>
      <c r="G96" s="532"/>
      <c r="H96" s="532"/>
      <c r="I96" s="532"/>
      <c r="J96" s="532"/>
      <c r="K96" s="533"/>
      <c r="L96" s="534"/>
      <c r="M96" s="535"/>
      <c r="N96" s="933"/>
      <c r="O96" s="933"/>
      <c r="P96" s="1916"/>
      <c r="Q96" s="453"/>
    </row>
    <row r="97" spans="1:17" ht="15.75" thickBot="1">
      <c r="A97" s="483"/>
      <c r="B97" s="492"/>
      <c r="C97" s="519"/>
      <c r="D97" s="519"/>
      <c r="E97" s="519"/>
      <c r="F97" s="519"/>
      <c r="G97" s="485"/>
      <c r="H97" s="485"/>
      <c r="I97" s="485"/>
      <c r="J97" s="485"/>
      <c r="K97" s="485"/>
      <c r="L97" s="485"/>
      <c r="M97" s="486"/>
      <c r="N97" s="934"/>
      <c r="O97" s="934"/>
      <c r="P97" s="1916"/>
      <c r="Q97" s="453"/>
    </row>
    <row r="98" spans="1:17" ht="15.75" thickTop="1">
      <c r="A98" s="483"/>
      <c r="B98" s="495">
        <f>B31</f>
        <v>111</v>
      </c>
      <c r="C98" s="536"/>
      <c r="D98" s="536"/>
      <c r="E98" s="536"/>
      <c r="F98" s="536"/>
      <c r="G98" s="536"/>
      <c r="H98" s="536"/>
      <c r="I98" s="536"/>
      <c r="J98" s="536"/>
      <c r="K98" s="537"/>
      <c r="L98" s="538"/>
      <c r="M98" s="539"/>
      <c r="N98" s="933"/>
      <c r="O98" s="933"/>
      <c r="P98" s="1916"/>
      <c r="Q98" s="453"/>
    </row>
    <row r="99" spans="1:17" ht="15.75" thickBot="1">
      <c r="A99" s="1922"/>
      <c r="B99" s="518"/>
      <c r="C99" s="540"/>
      <c r="D99" s="540"/>
      <c r="E99" s="540"/>
      <c r="F99" s="540"/>
      <c r="G99" s="540"/>
      <c r="H99" s="540"/>
      <c r="I99" s="540"/>
      <c r="J99" s="540"/>
      <c r="K99" s="540"/>
      <c r="L99" s="540"/>
      <c r="M99" s="541"/>
      <c r="N99" s="934"/>
      <c r="O99" s="934"/>
      <c r="P99" s="1916"/>
      <c r="Q99" s="453"/>
    </row>
    <row r="100" spans="1:17">
      <c r="A100" s="476" t="s">
        <v>1691</v>
      </c>
      <c r="B100" s="477" t="s">
        <v>1733</v>
      </c>
      <c r="C100" s="3446" t="s">
        <v>3701</v>
      </c>
      <c r="D100" s="479"/>
      <c r="E100" s="479"/>
      <c r="F100" s="479"/>
      <c r="G100" s="479"/>
      <c r="H100" s="479"/>
      <c r="I100" s="479"/>
      <c r="J100" s="479"/>
      <c r="K100" s="480"/>
      <c r="L100" s="481"/>
      <c r="M100" s="482"/>
      <c r="N100" s="933"/>
      <c r="O100" s="933"/>
      <c r="P100" s="1916"/>
      <c r="Q100" s="453"/>
    </row>
    <row r="101" spans="1:17" ht="15.75"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16"/>
      <c r="Q101" s="453"/>
    </row>
    <row r="102" spans="1:17" ht="29.25" thickTop="1">
      <c r="A102" s="483"/>
      <c r="B102" s="487" t="s">
        <v>1734</v>
      </c>
      <c r="C102" s="527" t="str">
        <f>C103&amp;"(含)"&amp;"-"&amp;D103</f>
        <v>0(含)-50000</v>
      </c>
      <c r="D102" s="527" t="str">
        <f t="shared" ref="D102:L102" si="26">D103&amp;"(含)"&amp;"-"&amp;E103</f>
        <v>50000(含)-100000</v>
      </c>
      <c r="E102" s="527" t="str">
        <f t="shared" si="26"/>
        <v>100000(含)-150000</v>
      </c>
      <c r="F102" s="527" t="str">
        <f t="shared" si="26"/>
        <v>150000(含)-300000</v>
      </c>
      <c r="G102" s="527" t="str">
        <f t="shared" si="26"/>
        <v>300000(含)-600000</v>
      </c>
      <c r="H102" s="527" t="str">
        <f t="shared" si="26"/>
        <v>600000(含)-</v>
      </c>
      <c r="I102" s="527" t="str">
        <f t="shared" si="26"/>
        <v>(含)-</v>
      </c>
      <c r="J102" s="527" t="str">
        <f t="shared" si="26"/>
        <v>(含)-</v>
      </c>
      <c r="K102" s="527" t="str">
        <f>K103&amp;"(含)"&amp;"-"&amp;L103</f>
        <v>(含)-</v>
      </c>
      <c r="L102" s="527" t="str">
        <f t="shared" si="26"/>
        <v>(含)-</v>
      </c>
      <c r="M102" s="527" t="str">
        <f>M103&amp;"(含)"&amp;"-"&amp;P103</f>
        <v>(含)-</v>
      </c>
      <c r="N102" s="932"/>
      <c r="O102" s="932"/>
      <c r="P102" s="1916"/>
      <c r="Q102" s="453"/>
    </row>
    <row r="103" spans="1:17" s="422" customFormat="1">
      <c r="A103" s="542"/>
      <c r="B103" s="543"/>
      <c r="C103" s="544">
        <v>0</v>
      </c>
      <c r="D103" s="544">
        <v>50000</v>
      </c>
      <c r="E103" s="544">
        <v>100000</v>
      </c>
      <c r="F103" s="544">
        <v>150000</v>
      </c>
      <c r="G103" s="544">
        <v>300000</v>
      </c>
      <c r="H103" s="544">
        <v>600000</v>
      </c>
      <c r="I103" s="544"/>
      <c r="J103" s="545"/>
      <c r="K103" s="545"/>
      <c r="L103" s="546"/>
      <c r="M103" s="547"/>
      <c r="N103" s="935"/>
      <c r="O103" s="935"/>
      <c r="P103" s="1917"/>
      <c r="Q103" s="508"/>
    </row>
    <row r="104" spans="1:17" s="422" customFormat="1" ht="15.75" thickBot="1">
      <c r="A104" s="502"/>
      <c r="B104" s="492"/>
      <c r="C104" s="509">
        <v>100</v>
      </c>
      <c r="D104" s="485">
        <f>C104+2</f>
        <v>102</v>
      </c>
      <c r="E104" s="485">
        <f t="shared" ref="E104:H104" si="27">D104+2</f>
        <v>104</v>
      </c>
      <c r="F104" s="485">
        <f t="shared" si="27"/>
        <v>106</v>
      </c>
      <c r="G104" s="485">
        <f t="shared" si="27"/>
        <v>108</v>
      </c>
      <c r="H104" s="485">
        <f t="shared" si="27"/>
        <v>110</v>
      </c>
      <c r="I104" s="485"/>
      <c r="J104" s="485"/>
      <c r="K104" s="485"/>
      <c r="L104" s="485"/>
      <c r="M104" s="485"/>
      <c r="N104" s="934"/>
      <c r="O104" s="934"/>
      <c r="P104" s="1917"/>
      <c r="Q104" s="508"/>
    </row>
    <row r="105" spans="1:17" ht="15" thickTop="1">
      <c r="A105" s="548"/>
      <c r="B105" s="487" t="s">
        <v>1735</v>
      </c>
      <c r="C105" s="3447" t="s">
        <v>3694</v>
      </c>
      <c r="D105" s="503"/>
      <c r="E105" s="532"/>
      <c r="F105" s="532"/>
      <c r="G105" s="532"/>
      <c r="H105" s="532"/>
      <c r="I105" s="532"/>
      <c r="J105" s="532"/>
      <c r="K105" s="533"/>
      <c r="L105" s="534"/>
      <c r="M105" s="535"/>
      <c r="N105" s="933"/>
      <c r="O105" s="933"/>
      <c r="P105" s="1916"/>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16"/>
      <c r="Q106" s="453"/>
    </row>
    <row r="107" spans="1:17" ht="15" thickTop="1">
      <c r="A107" s="548"/>
      <c r="B107" s="487" t="s">
        <v>1736</v>
      </c>
      <c r="C107" s="532"/>
      <c r="D107" s="532"/>
      <c r="E107" s="532"/>
      <c r="F107" s="532"/>
      <c r="G107" s="532"/>
      <c r="H107" s="532"/>
      <c r="I107" s="532"/>
      <c r="J107" s="532"/>
      <c r="K107" s="533"/>
      <c r="L107" s="534"/>
      <c r="M107" s="535"/>
      <c r="N107" s="933"/>
      <c r="O107" s="933"/>
      <c r="P107" s="1916"/>
      <c r="Q107" s="453"/>
    </row>
    <row r="108" spans="1:17" ht="15.75" thickBot="1">
      <c r="A108" s="483"/>
      <c r="B108" s="492"/>
      <c r="C108" s="493">
        <v>100</v>
      </c>
      <c r="D108" s="493">
        <f t="shared" ref="D108:M108" si="29">C108-$K35</f>
        <v>98</v>
      </c>
      <c r="E108" s="493">
        <f t="shared" si="29"/>
        <v>96</v>
      </c>
      <c r="F108" s="493">
        <f t="shared" si="29"/>
        <v>94</v>
      </c>
      <c r="G108" s="493">
        <f t="shared" si="29"/>
        <v>92</v>
      </c>
      <c r="H108" s="493">
        <f t="shared" si="29"/>
        <v>90</v>
      </c>
      <c r="I108" s="493">
        <f t="shared" si="29"/>
        <v>88</v>
      </c>
      <c r="J108" s="493">
        <f t="shared" si="29"/>
        <v>86</v>
      </c>
      <c r="K108" s="493">
        <f t="shared" si="29"/>
        <v>84</v>
      </c>
      <c r="L108" s="493">
        <f t="shared" si="29"/>
        <v>82</v>
      </c>
      <c r="M108" s="493">
        <f t="shared" si="29"/>
        <v>80</v>
      </c>
      <c r="N108" s="934"/>
      <c r="O108" s="934"/>
      <c r="P108" s="1916"/>
      <c r="Q108" s="453"/>
    </row>
    <row r="109" spans="1:17" ht="15" thickTop="1">
      <c r="A109" s="548"/>
      <c r="B109" s="487" t="s">
        <v>1737</v>
      </c>
      <c r="C109" s="3447" t="s">
        <v>3684</v>
      </c>
      <c r="D109" s="3447" t="s">
        <v>3685</v>
      </c>
      <c r="E109" s="3447" t="s">
        <v>3686</v>
      </c>
      <c r="F109" s="3448" t="s">
        <v>3688</v>
      </c>
      <c r="G109" s="532"/>
      <c r="H109" s="532"/>
      <c r="I109" s="532"/>
      <c r="J109" s="532"/>
      <c r="K109" s="533"/>
      <c r="L109" s="534"/>
      <c r="M109" s="535"/>
      <c r="N109" s="933"/>
      <c r="O109" s="933"/>
      <c r="P109" s="1916"/>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16"/>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7"/>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17"/>
      <c r="Q113" s="508"/>
    </row>
    <row r="114" spans="1:17" ht="15" thickTop="1">
      <c r="A114" s="548"/>
      <c r="B114" s="487" t="s">
        <v>1738</v>
      </c>
      <c r="C114" s="3447" t="s">
        <v>3690</v>
      </c>
      <c r="D114" s="503"/>
      <c r="E114" s="532"/>
      <c r="F114" s="532"/>
      <c r="G114" s="532"/>
      <c r="H114" s="532"/>
      <c r="I114" s="532"/>
      <c r="J114" s="532"/>
      <c r="K114" s="533"/>
      <c r="L114" s="534"/>
      <c r="M114" s="535"/>
      <c r="N114" s="933"/>
      <c r="O114" s="933"/>
      <c r="P114" s="1916"/>
      <c r="Q114" s="453"/>
    </row>
    <row r="115" spans="1:17" ht="15.75" thickBot="1">
      <c r="A115" s="483"/>
      <c r="B115" s="492"/>
      <c r="C115" s="493">
        <v>100</v>
      </c>
      <c r="D115" s="493">
        <f t="shared" ref="D115:M115" si="31">C115-$K38</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3">
        <f t="shared" si="31"/>
        <v>80</v>
      </c>
      <c r="N115" s="934"/>
      <c r="O115" s="934"/>
      <c r="P115" s="1916"/>
      <c r="Q115" s="453"/>
    </row>
    <row r="116" spans="1:17" ht="15" thickTop="1">
      <c r="A116" s="548"/>
      <c r="B116" s="487" t="s">
        <v>1739</v>
      </c>
      <c r="C116" s="503" t="s">
        <v>3454</v>
      </c>
      <c r="D116" s="503" t="s">
        <v>3691</v>
      </c>
      <c r="E116" s="503" t="s">
        <v>3692</v>
      </c>
      <c r="F116" s="503" t="s">
        <v>3693</v>
      </c>
      <c r="G116" s="503" t="s">
        <v>3462</v>
      </c>
      <c r="H116" s="532"/>
      <c r="I116" s="532"/>
      <c r="J116" s="532"/>
      <c r="K116" s="533"/>
      <c r="L116" s="534"/>
      <c r="M116" s="535"/>
      <c r="N116" s="933"/>
      <c r="O116" s="933"/>
      <c r="P116" s="1916"/>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6"/>
      <c r="Q117" s="453"/>
    </row>
    <row r="118" spans="1:17" ht="15" thickTop="1">
      <c r="A118" s="548"/>
      <c r="B118" s="487" t="s">
        <v>1740</v>
      </c>
      <c r="C118" s="532"/>
      <c r="D118" s="532"/>
      <c r="E118" s="532"/>
      <c r="F118" s="532"/>
      <c r="G118" s="532"/>
      <c r="H118" s="532"/>
      <c r="I118" s="532"/>
      <c r="J118" s="532"/>
      <c r="K118" s="533"/>
      <c r="L118" s="534"/>
      <c r="M118" s="535"/>
      <c r="N118" s="933"/>
      <c r="O118" s="933"/>
      <c r="P118" s="1916"/>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6"/>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17"/>
      <c r="Q120" s="508"/>
    </row>
    <row r="121" spans="1:17" s="422" customFormat="1" ht="15.75" thickBot="1">
      <c r="A121" s="502"/>
      <c r="B121" s="484"/>
      <c r="C121" s="509"/>
      <c r="D121" s="485"/>
      <c r="E121" s="485"/>
      <c r="F121" s="485"/>
      <c r="G121" s="485"/>
      <c r="H121" s="485"/>
      <c r="I121" s="485"/>
      <c r="J121" s="485"/>
      <c r="K121" s="485"/>
      <c r="L121" s="485"/>
      <c r="M121" s="485"/>
      <c r="N121" s="935"/>
      <c r="O121" s="935"/>
      <c r="P121" s="1917"/>
      <c r="Q121" s="508"/>
    </row>
    <row r="122" spans="1:17" ht="15" thickTop="1">
      <c r="A122" s="548"/>
      <c r="B122" s="487" t="s">
        <v>1741</v>
      </c>
      <c r="C122" s="3447" t="s">
        <v>3684</v>
      </c>
      <c r="D122" s="3447" t="s">
        <v>3685</v>
      </c>
      <c r="E122" s="3447" t="s">
        <v>3686</v>
      </c>
      <c r="F122" s="3448" t="s">
        <v>3688</v>
      </c>
      <c r="G122" s="532"/>
      <c r="H122" s="532"/>
      <c r="I122" s="532"/>
      <c r="J122" s="532"/>
      <c r="K122" s="533"/>
      <c r="L122" s="534"/>
      <c r="M122" s="535"/>
      <c r="N122" s="933"/>
      <c r="O122" s="933"/>
      <c r="P122" s="1916"/>
      <c r="Q122" s="453"/>
    </row>
    <row r="123" spans="1:17"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3">
        <f t="shared" si="33"/>
        <v>90</v>
      </c>
      <c r="N123" s="934"/>
      <c r="O123" s="934"/>
      <c r="P123" s="1916"/>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17"/>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6"/>
      <c r="Q125" s="453"/>
    </row>
    <row r="126" spans="1:17" s="422" customFormat="1" ht="15" thickTop="1">
      <c r="A126" s="542"/>
      <c r="B126" s="487" t="str">
        <f>B44</f>
        <v>现房</v>
      </c>
      <c r="C126" s="3447" t="s">
        <v>3680</v>
      </c>
      <c r="D126" s="3447" t="s">
        <v>3681</v>
      </c>
      <c r="E126" s="503"/>
      <c r="F126" s="503"/>
      <c r="G126" s="503"/>
      <c r="H126" s="504"/>
      <c r="I126" s="504"/>
      <c r="J126" s="504"/>
      <c r="K126" s="504"/>
      <c r="L126" s="505"/>
      <c r="M126" s="506"/>
      <c r="N126" s="935"/>
      <c r="O126" s="935"/>
      <c r="P126" s="1917"/>
      <c r="Q126" s="508"/>
    </row>
    <row r="127" spans="1:17" s="422" customFormat="1" ht="15.75" thickBot="1">
      <c r="A127" s="502"/>
      <c r="B127" s="492"/>
      <c r="C127" s="509">
        <v>100</v>
      </c>
      <c r="D127" s="485">
        <v>85</v>
      </c>
      <c r="E127" s="485"/>
      <c r="F127" s="485"/>
      <c r="G127" s="509"/>
      <c r="H127" s="511"/>
      <c r="I127" s="511"/>
      <c r="J127" s="511"/>
      <c r="K127" s="511"/>
      <c r="L127" s="511"/>
      <c r="M127" s="512"/>
      <c r="N127" s="935"/>
      <c r="O127" s="935"/>
      <c r="P127" s="1917"/>
      <c r="Q127" s="508"/>
    </row>
    <row r="128" spans="1:17" ht="15" thickTop="1">
      <c r="A128" s="548"/>
      <c r="B128" s="487">
        <f>B45</f>
        <v>111</v>
      </c>
      <c r="C128" s="503"/>
      <c r="D128" s="503"/>
      <c r="E128" s="503"/>
      <c r="F128" s="503"/>
      <c r="G128" s="532"/>
      <c r="H128" s="532"/>
      <c r="I128" s="532"/>
      <c r="J128" s="532"/>
      <c r="K128" s="533"/>
      <c r="L128" s="534"/>
      <c r="M128" s="535"/>
      <c r="N128" s="933"/>
      <c r="O128" s="933"/>
      <c r="P128" s="1916"/>
      <c r="Q128" s="453"/>
    </row>
    <row r="129" spans="1:17" ht="15.75" thickBot="1">
      <c r="A129" s="483"/>
      <c r="B129" s="492"/>
      <c r="C129" s="509"/>
      <c r="D129" s="509"/>
      <c r="E129" s="509"/>
      <c r="F129" s="509"/>
      <c r="G129" s="485"/>
      <c r="H129" s="485"/>
      <c r="I129" s="485"/>
      <c r="J129" s="485"/>
      <c r="K129" s="485"/>
      <c r="L129" s="485"/>
      <c r="M129" s="486"/>
      <c r="N129" s="934"/>
      <c r="O129" s="934"/>
      <c r="P129" s="1916"/>
      <c r="Q129" s="453"/>
    </row>
    <row r="130" spans="1:17" ht="15" thickTop="1">
      <c r="A130" s="548"/>
      <c r="B130" s="495">
        <f>B46</f>
        <v>111</v>
      </c>
      <c r="C130" s="503"/>
      <c r="D130" s="503"/>
      <c r="E130" s="503"/>
      <c r="F130" s="503"/>
      <c r="G130" s="536"/>
      <c r="H130" s="536"/>
      <c r="I130" s="536"/>
      <c r="J130" s="536"/>
      <c r="K130" s="472"/>
      <c r="L130" s="473"/>
      <c r="M130" s="539"/>
      <c r="N130" s="933"/>
      <c r="O130" s="933"/>
      <c r="P130" s="1916"/>
      <c r="Q130" s="453"/>
    </row>
    <row r="131" spans="1:17" ht="15.75" thickBot="1">
      <c r="A131" s="1922"/>
      <c r="B131" s="518"/>
      <c r="C131" s="519"/>
      <c r="D131" s="519"/>
      <c r="E131" s="519"/>
      <c r="F131" s="519"/>
      <c r="G131" s="540"/>
      <c r="H131" s="540"/>
      <c r="I131" s="540"/>
      <c r="J131" s="540"/>
      <c r="K131" s="540"/>
      <c r="L131" s="540"/>
      <c r="M131" s="541"/>
      <c r="N131" s="934"/>
      <c r="O131" s="934"/>
      <c r="P131" s="1916"/>
      <c r="Q131" s="453"/>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7" t="s">
        <v>1746</v>
      </c>
      <c r="D138" s="137" t="s">
        <v>1747</v>
      </c>
      <c r="E138" s="1931" t="s">
        <v>1748</v>
      </c>
      <c r="F138" s="1932" t="s">
        <v>1749</v>
      </c>
      <c r="G138" s="137" t="s">
        <v>1747</v>
      </c>
      <c r="H138" s="138" t="s">
        <v>1748</v>
      </c>
      <c r="I138" s="1933"/>
      <c r="J138" s="137" t="s">
        <v>1750</v>
      </c>
      <c r="K138" s="138" t="s">
        <v>1751</v>
      </c>
    </row>
    <row r="139" spans="1:17" ht="15">
      <c r="B139" s="867">
        <v>6</v>
      </c>
      <c r="C139" s="868">
        <v>96</v>
      </c>
      <c r="D139" s="1934" t="s">
        <v>1752</v>
      </c>
      <c r="E139" s="869">
        <v>100</v>
      </c>
      <c r="F139" s="870">
        <v>102.5</v>
      </c>
      <c r="G139" s="1934" t="s">
        <v>1752</v>
      </c>
      <c r="H139" s="871">
        <v>105</v>
      </c>
      <c r="I139" s="1935" t="s">
        <v>1753</v>
      </c>
      <c r="J139" s="868">
        <v>20</v>
      </c>
      <c r="K139" s="872">
        <f>C145/(J139-2)</f>
        <v>4.0555555555555553E-3</v>
      </c>
    </row>
    <row r="140" spans="1:17" ht="15">
      <c r="B140" s="873">
        <v>5</v>
      </c>
      <c r="C140" s="874">
        <v>100</v>
      </c>
      <c r="D140" s="874"/>
      <c r="E140" s="875"/>
      <c r="F140" s="876">
        <v>102</v>
      </c>
      <c r="G140" s="874"/>
      <c r="H140" s="877"/>
      <c r="I140" s="1936" t="s">
        <v>1754</v>
      </c>
      <c r="J140" s="271">
        <f>ROUNDUP((J139-1)/2,0)</f>
        <v>10</v>
      </c>
      <c r="K140" s="878">
        <v>100</v>
      </c>
    </row>
    <row r="141" spans="1:17" ht="15">
      <c r="B141" s="873">
        <v>4</v>
      </c>
      <c r="C141" s="874">
        <v>102</v>
      </c>
      <c r="D141" s="874"/>
      <c r="E141" s="875"/>
      <c r="F141" s="876">
        <v>101.5</v>
      </c>
      <c r="G141" s="874"/>
      <c r="H141" s="877"/>
      <c r="I141" s="1936" t="s">
        <v>1755</v>
      </c>
      <c r="J141" s="271">
        <v>1</v>
      </c>
      <c r="K141" s="879">
        <f>ROUND(100+(J141-J140)*K139*100,1)</f>
        <v>96.4</v>
      </c>
    </row>
    <row r="142" spans="1:17" ht="15">
      <c r="B142" s="873">
        <v>3</v>
      </c>
      <c r="C142" s="874">
        <v>103</v>
      </c>
      <c r="D142" s="874"/>
      <c r="E142" s="875"/>
      <c r="F142" s="876">
        <v>101</v>
      </c>
      <c r="G142" s="874"/>
      <c r="H142" s="877"/>
      <c r="I142" s="1936" t="s">
        <v>1756</v>
      </c>
      <c r="J142" s="271">
        <f>J139</f>
        <v>20</v>
      </c>
      <c r="K142" s="880">
        <v>95</v>
      </c>
    </row>
    <row r="143" spans="1:17" ht="15">
      <c r="B143" s="873">
        <v>2</v>
      </c>
      <c r="C143" s="874">
        <v>100</v>
      </c>
      <c r="D143" s="874"/>
      <c r="E143" s="875"/>
      <c r="F143" s="876">
        <v>100.5</v>
      </c>
      <c r="G143" s="874"/>
      <c r="H143" s="877"/>
      <c r="I143" s="1936" t="s">
        <v>1757</v>
      </c>
      <c r="J143" s="874">
        <v>15</v>
      </c>
      <c r="K143" s="879">
        <f>ROUND(100+(J143-J140)*K139*100,1)</f>
        <v>102</v>
      </c>
    </row>
    <row r="144" spans="1:17" ht="15">
      <c r="B144" s="873">
        <v>1</v>
      </c>
      <c r="C144" s="874">
        <v>98</v>
      </c>
      <c r="D144" s="1937" t="s">
        <v>1758</v>
      </c>
      <c r="E144" s="875">
        <v>102</v>
      </c>
      <c r="F144" s="881">
        <v>100</v>
      </c>
      <c r="G144" s="1937" t="s">
        <v>1758</v>
      </c>
      <c r="H144" s="877">
        <v>105</v>
      </c>
      <c r="I144" s="1936" t="s">
        <v>1757</v>
      </c>
      <c r="J144" s="874">
        <v>18</v>
      </c>
      <c r="K144" s="879">
        <f>ROUND(100+(J144-J140)*K139*100,1)</f>
        <v>103.2</v>
      </c>
    </row>
    <row r="145" spans="2:11" ht="15.75" thickBot="1">
      <c r="B145" s="1938" t="s">
        <v>1759</v>
      </c>
      <c r="C145" s="882">
        <f>ROUND(MAX(C139:C144)/MIN(C139:C144)-1,3)</f>
        <v>7.2999999999999995E-2</v>
      </c>
      <c r="D145" s="883"/>
      <c r="E145" s="883"/>
      <c r="F145" s="1939" t="s">
        <v>1760</v>
      </c>
      <c r="G145" s="1940"/>
      <c r="H145" s="1941"/>
      <c r="I145" s="1942" t="s">
        <v>1757</v>
      </c>
      <c r="J145" s="884">
        <v>8</v>
      </c>
      <c r="K145" s="885">
        <f>ROUND(100+(J145-J140)*K139*100,1)</f>
        <v>99.2</v>
      </c>
    </row>
    <row r="147" spans="2:11">
      <c r="B147" s="1923" t="s">
        <v>1761</v>
      </c>
    </row>
    <row r="148" spans="2:11">
      <c r="B148" s="1923"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3671</v>
      </c>
      <c r="D1" s="1359" t="s">
        <v>43</v>
      </c>
      <c r="E1" s="1360" t="s">
        <v>678</v>
      </c>
      <c r="F1" s="1062">
        <f ca="1">J53</f>
        <v>44.54</v>
      </c>
      <c r="G1" s="1375">
        <f>MATCH(C1,'数据-取费表'!A6:A16,0)+5</f>
        <v>8</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5752</v>
      </c>
      <c r="C2" s="1384" t="s">
        <v>805</v>
      </c>
      <c r="D2" s="1384"/>
      <c r="E2" s="1385"/>
      <c r="F2" s="1386"/>
      <c r="G2" s="2697"/>
      <c r="H2" s="2686"/>
      <c r="I2" s="2686"/>
      <c r="J2" s="2686"/>
      <c r="K2" s="2687"/>
      <c r="L2" s="2686"/>
      <c r="M2" s="2686"/>
    </row>
    <row r="3" spans="1:37" ht="18" customHeight="1" thickBot="1">
      <c r="A3" s="1387" t="s">
        <v>806</v>
      </c>
      <c r="B3" s="1388">
        <f ca="1">IF(ISERROR(B2*10000/F43),0,ROUND(B2*10000/F43,0))</f>
        <v>1721</v>
      </c>
      <c r="C3" s="1384" t="s">
        <v>807</v>
      </c>
      <c r="D3" s="1384"/>
      <c r="E3" s="1385"/>
      <c r="F3" s="1386"/>
      <c r="G3" s="2697"/>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437</v>
      </c>
      <c r="D5" s="1361" t="s">
        <v>693</v>
      </c>
      <c r="E5" s="1071"/>
      <c r="F5" s="1072"/>
      <c r="G5" s="1381"/>
      <c r="H5" s="299">
        <v>1</v>
      </c>
      <c r="I5" s="300" t="s">
        <v>692</v>
      </c>
      <c r="J5" s="1070">
        <f ca="1">J6+J10+J12</f>
        <v>0</v>
      </c>
      <c r="K5" s="1361" t="s">
        <v>693</v>
      </c>
      <c r="L5" s="1071"/>
      <c r="M5" s="1072"/>
    </row>
    <row r="6" spans="1:37" ht="18" customHeight="1">
      <c r="A6" s="1069" t="s">
        <v>398</v>
      </c>
      <c r="B6" s="3770" t="s">
        <v>694</v>
      </c>
      <c r="C6" s="1074">
        <f ca="1">ROUND(F6*F8*F7*(1-F9)/10000,0)</f>
        <v>437</v>
      </c>
      <c r="D6" s="155" t="s">
        <v>2105</v>
      </c>
      <c r="E6" s="302" t="s">
        <v>696</v>
      </c>
      <c r="F6" s="303">
        <f ca="1">INDIRECT("'数据-取费表'!u"&amp;$G$1)</f>
        <v>400</v>
      </c>
      <c r="G6" s="1381"/>
      <c r="H6" s="1069" t="s">
        <v>398</v>
      </c>
      <c r="I6" s="3770" t="s">
        <v>694</v>
      </c>
      <c r="J6" s="301">
        <f ca="1">ROUND(M6*M8*M7*(1-M9)/10000,0)</f>
        <v>0</v>
      </c>
      <c r="K6" s="155" t="s">
        <v>2104</v>
      </c>
      <c r="L6" s="302" t="s">
        <v>696</v>
      </c>
      <c r="M6" s="303">
        <f ca="1">INDIRECT("'数据-取费表'!z"&amp;$G$1)</f>
        <v>0</v>
      </c>
    </row>
    <row r="7" spans="1:37" ht="18" customHeight="1">
      <c r="A7" s="1073"/>
      <c r="B7" s="3771"/>
      <c r="C7" s="1075"/>
      <c r="D7" s="307"/>
      <c r="E7" s="1076" t="s">
        <v>697</v>
      </c>
      <c r="F7" s="303">
        <f ca="1">IF(INDIRECT("'数据-取费表'!ah"&amp;$G$1)="",INDIRECT("'数据-取费表'!k"&amp;$G$1),INDIRECT("'数据-取费表'!ah"&amp;$G$1))</f>
        <v>1011</v>
      </c>
      <c r="G7" s="1381"/>
      <c r="H7" s="304"/>
      <c r="I7" s="3771"/>
      <c r="J7" s="306"/>
      <c r="K7" s="307"/>
      <c r="L7" s="302" t="s">
        <v>697</v>
      </c>
      <c r="M7" s="303">
        <f ca="1">F7</f>
        <v>1011</v>
      </c>
    </row>
    <row r="8" spans="1:37" ht="18" customHeight="1">
      <c r="A8" s="304"/>
      <c r="B8" s="3771"/>
      <c r="C8" s="306"/>
      <c r="D8" s="307"/>
      <c r="E8" s="302" t="s">
        <v>698</v>
      </c>
      <c r="F8" s="303">
        <f ca="1">INDIRECT("'数据-取费表'!ai"&amp;$G$1)</f>
        <v>12</v>
      </c>
      <c r="G8" s="1381"/>
      <c r="H8" s="304"/>
      <c r="I8" s="3771"/>
      <c r="J8" s="306"/>
      <c r="K8" s="307"/>
      <c r="L8" s="302" t="s">
        <v>698</v>
      </c>
      <c r="M8" s="303">
        <f ca="1">INDIRECT("'数据-取费表'!ai"&amp;$G$1)</f>
        <v>12</v>
      </c>
    </row>
    <row r="9" spans="1:37" ht="18" customHeight="1">
      <c r="A9" s="304"/>
      <c r="B9" s="3772"/>
      <c r="C9" s="306"/>
      <c r="D9" s="307"/>
      <c r="E9" s="302" t="s">
        <v>699</v>
      </c>
      <c r="F9" s="312">
        <f ca="1">INDIRECT("'数据-取费表'!w"&amp;$G$1)</f>
        <v>0.1</v>
      </c>
      <c r="G9" s="1381"/>
      <c r="H9" s="304"/>
      <c r="I9" s="3772"/>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2113</v>
      </c>
      <c r="E10" s="313" t="s">
        <v>701</v>
      </c>
      <c r="F10" s="1116" t="s">
        <v>3713</v>
      </c>
      <c r="G10" s="1381"/>
      <c r="H10" s="1069" t="s">
        <v>402</v>
      </c>
      <c r="I10" s="1362" t="s">
        <v>700</v>
      </c>
      <c r="J10" s="301">
        <f ca="1">ROUND(IF(M10="押一",J6/12*M11,IF(M10="押二",J6/12*2*M11,IF(M10="押三",J6/12*3*M11,J11*M11))),0)</f>
        <v>0</v>
      </c>
      <c r="K10" s="1363" t="s">
        <v>2112</v>
      </c>
      <c r="L10" s="313" t="s">
        <v>701</v>
      </c>
      <c r="M10" s="1116"/>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3" t="s">
        <v>437</v>
      </c>
      <c r="B12" s="1366" t="s">
        <v>703</v>
      </c>
      <c r="C12" s="1084"/>
      <c r="D12" s="1085"/>
      <c r="E12" s="1090"/>
      <c r="F12" s="1086"/>
      <c r="G12" s="1381"/>
      <c r="H12" s="1083" t="s">
        <v>437</v>
      </c>
      <c r="I12" s="1366" t="s">
        <v>703</v>
      </c>
      <c r="J12" s="1084"/>
      <c r="K12" s="1098"/>
      <c r="L12" s="1090"/>
      <c r="M12" s="1099"/>
    </row>
    <row r="13" spans="1:37" ht="18" customHeight="1" thickTop="1">
      <c r="A13" s="1079">
        <v>2</v>
      </c>
      <c r="B13" s="1080" t="s">
        <v>704</v>
      </c>
      <c r="C13" s="310">
        <f ca="1">ROUND(C29*F13,0)</f>
        <v>13476</v>
      </c>
      <c r="D13" s="1081" t="s">
        <v>705</v>
      </c>
      <c r="E13" s="1081" t="s">
        <v>706</v>
      </c>
      <c r="F13" s="1082">
        <f ca="1">INDIRECT("'数据-取费表'!y"&amp;$G$1)</f>
        <v>1</v>
      </c>
      <c r="G13" s="1381"/>
      <c r="H13" s="1079">
        <v>2</v>
      </c>
      <c r="I13" s="1080" t="s">
        <v>704</v>
      </c>
      <c r="J13" s="1068">
        <f ca="1">ROUND(J14*J15,0)</f>
        <v>0</v>
      </c>
      <c r="K13" s="1087" t="s">
        <v>705</v>
      </c>
      <c r="L13" s="1389"/>
      <c r="M13" s="1390"/>
    </row>
    <row r="14" spans="1:37" ht="18" customHeight="1">
      <c r="A14" s="982" t="s">
        <v>397</v>
      </c>
      <c r="B14" s="302" t="s">
        <v>707</v>
      </c>
      <c r="C14" s="318">
        <f ca="1">INDIRECT("'数据-取费表'!m"&amp;$G$1)+INDIRECT("'数据-取费表'!t"&amp;$G$1)</f>
        <v>10137</v>
      </c>
      <c r="D14" s="1342" t="s">
        <v>708</v>
      </c>
      <c r="E14" s="1339"/>
      <c r="F14" s="319"/>
      <c r="G14" s="1381"/>
      <c r="H14" s="982" t="s">
        <v>398</v>
      </c>
      <c r="I14" s="302" t="s">
        <v>709</v>
      </c>
      <c r="J14" s="21">
        <f ca="1">C29</f>
        <v>13476</v>
      </c>
      <c r="K14" s="12"/>
      <c r="L14" s="807"/>
      <c r="M14" s="808"/>
    </row>
    <row r="15" spans="1:37" s="1394" customFormat="1" ht="18" customHeight="1" thickBot="1">
      <c r="A15" s="982" t="s">
        <v>399</v>
      </c>
      <c r="B15" s="302" t="s">
        <v>710</v>
      </c>
      <c r="C15" s="21">
        <f ca="1">ROUND(C14*F15,0)</f>
        <v>304</v>
      </c>
      <c r="D15" s="320" t="s">
        <v>711</v>
      </c>
      <c r="E15" s="320" t="s">
        <v>712</v>
      </c>
      <c r="F15" s="321">
        <f>'数据-取费表'!B33</f>
        <v>0.03</v>
      </c>
      <c r="G15" s="1393"/>
      <c r="H15" s="1089" t="s">
        <v>402</v>
      </c>
      <c r="I15" s="1090" t="s">
        <v>706</v>
      </c>
      <c r="J15" s="1099">
        <f ca="1">INDIRECT("'数据-取费表'!ad"&amp;$G$1)</f>
        <v>0</v>
      </c>
      <c r="K15" s="1100"/>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9" t="s">
        <v>393</v>
      </c>
      <c r="I16" s="1080" t="s">
        <v>714</v>
      </c>
      <c r="J16" s="310">
        <f ca="1">ROUND(J17+J22+J23+J24,0)</f>
        <v>110</v>
      </c>
      <c r="K16" s="1087" t="s">
        <v>715</v>
      </c>
      <c r="L16" s="1088"/>
      <c r="M16" s="1072"/>
    </row>
    <row r="17" spans="1:37" s="1394" customFormat="1" ht="18" customHeight="1">
      <c r="A17" s="982" t="s">
        <v>681</v>
      </c>
      <c r="B17" s="302" t="s">
        <v>716</v>
      </c>
      <c r="C17" s="21">
        <f ca="1">ROUND(F17*(F43+INDIRECT("'数据-取费表'!S"&amp;$G$1))/10000,0)</f>
        <v>676</v>
      </c>
      <c r="D17" s="302" t="s">
        <v>717</v>
      </c>
      <c r="E17" s="302" t="s">
        <v>718</v>
      </c>
      <c r="F17" s="23">
        <f>'数据-取费表'!B35</f>
        <v>200</v>
      </c>
      <c r="G17" s="1393"/>
      <c r="H17" s="982" t="s">
        <v>398</v>
      </c>
      <c r="I17" s="302" t="s">
        <v>719</v>
      </c>
      <c r="J17" s="2309">
        <f ca="1">ROUND(IF(AND(项目基本情况!B11="自然人",项目基本情况!B10="北京市"),J6*M17/(1+'数据-取费表'!C42),J18+J19+J20),2)</f>
        <v>1.75</v>
      </c>
      <c r="K17" s="1342" t="s">
        <v>720</v>
      </c>
      <c r="L17" s="1341" t="s">
        <v>721</v>
      </c>
      <c r="M17" s="2308"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152</v>
      </c>
      <c r="D18" s="302" t="s">
        <v>711</v>
      </c>
      <c r="E18" s="302" t="s">
        <v>712</v>
      </c>
      <c r="F18" s="322">
        <f>'数据-取费表'!B36</f>
        <v>1.4999999999999999E-2</v>
      </c>
      <c r="G18" s="1393"/>
      <c r="H18" s="982"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11269</v>
      </c>
      <c r="D19" s="131" t="s">
        <v>726</v>
      </c>
      <c r="E19" s="1357"/>
      <c r="F19" s="23"/>
      <c r="G19" s="1381"/>
      <c r="H19" s="982" t="s">
        <v>399</v>
      </c>
      <c r="I19" s="302" t="s">
        <v>727</v>
      </c>
      <c r="J19" s="21">
        <f ca="1">IF(K19="按租金收入计税",ROUND(J6*M19/(1+'数据-取费表'!C42),2),ROUND(C29*M19*0.7,2))</f>
        <v>0</v>
      </c>
      <c r="K19" s="1367" t="s">
        <v>3334</v>
      </c>
      <c r="L19" s="302" t="s">
        <v>712</v>
      </c>
      <c r="M19" s="322">
        <f>IF(K19="按租金收入计税",'数据-取费表'!B51,'数据-取费表'!B50)</f>
        <v>0.12</v>
      </c>
    </row>
    <row r="20" spans="1:37" s="1394" customFormat="1" ht="18" customHeight="1">
      <c r="A20" s="982" t="s">
        <v>402</v>
      </c>
      <c r="B20" s="302" t="s">
        <v>728</v>
      </c>
      <c r="C20" s="21">
        <f ca="1">ROUND(C19*F20,0)</f>
        <v>225</v>
      </c>
      <c r="D20" s="323" t="s">
        <v>729</v>
      </c>
      <c r="E20" s="302" t="s">
        <v>712</v>
      </c>
      <c r="F20" s="322">
        <f>'数据-取费表'!B37</f>
        <v>0.02</v>
      </c>
      <c r="G20" s="1393"/>
      <c r="H20" s="982" t="s">
        <v>680</v>
      </c>
      <c r="I20" s="155" t="s">
        <v>730</v>
      </c>
      <c r="J20" s="22">
        <f ca="1">ROUND(M20*M21/10000,2)</f>
        <v>1.75</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323" t="s">
        <v>734</v>
      </c>
      <c r="E21" s="302" t="s">
        <v>735</v>
      </c>
      <c r="F21" s="322">
        <f>'数据-取费表'!B38</f>
        <v>0.02</v>
      </c>
      <c r="G21" s="1393"/>
      <c r="H21" s="326"/>
      <c r="I21" s="311"/>
      <c r="J21" s="26"/>
      <c r="K21" s="327"/>
      <c r="L21" s="302" t="s">
        <v>736</v>
      </c>
      <c r="M21" s="303">
        <f ca="1">INDIRECT("'数据-取费表'!r"&amp;$G$1)</f>
        <v>11670.599999999999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7"/>
      <c r="F22" s="23"/>
      <c r="G22" s="1381"/>
      <c r="H22" s="982" t="s">
        <v>402</v>
      </c>
      <c r="I22" s="302" t="s">
        <v>738</v>
      </c>
      <c r="J22" s="21">
        <f ca="1">ROUND(J14*M22,2)</f>
        <v>107.81</v>
      </c>
      <c r="K22" s="1341" t="s">
        <v>739</v>
      </c>
      <c r="L22" s="302" t="s">
        <v>712</v>
      </c>
      <c r="M22" s="328">
        <f ca="1">INDIRECT("'数据-取费表'!Ak"&amp;$G$1)</f>
        <v>8.0000000000000002E-3</v>
      </c>
    </row>
    <row r="23" spans="1:37" s="1394" customFormat="1" ht="18" customHeight="1">
      <c r="A23" s="982" t="s">
        <v>397</v>
      </c>
      <c r="B23" s="302" t="s">
        <v>740</v>
      </c>
      <c r="C23" s="21">
        <f ca="1">IF('数据-取费表'!B22&lt;=1,ROUND(C19*F24*F23/2,0)+ROUND(C20*F24*F23/2,0),ROUND(C19*(POWER((1+F24),F23/2)-1),0)+ROUND(C20*(POWER((1+F24),F23/2)-1),0))</f>
        <v>408</v>
      </c>
      <c r="D23" s="329" t="str">
        <f>IF(F23&lt;=1,"(建造成本+管理费用)×利率×(建设周期÷2)","(建造成本+管理费用)×((1+利率)^(建设周期÷2)-1)")</f>
        <v>(建造成本+管理费用)×((1+利率)^(建设周期÷2)-1)</v>
      </c>
      <c r="E23" s="302" t="s">
        <v>741</v>
      </c>
      <c r="F23" s="325">
        <f>'数据-取费表'!B20</f>
        <v>2</v>
      </c>
      <c r="G23" s="1393"/>
      <c r="H23" s="982"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9" t="s">
        <v>684</v>
      </c>
      <c r="I24" s="1090" t="s">
        <v>728</v>
      </c>
      <c r="J24" s="1091">
        <f ca="1">ROUND(J5*M24,2)</f>
        <v>0</v>
      </c>
      <c r="K24" s="1092" t="s">
        <v>748</v>
      </c>
      <c r="L24" s="1090" t="s">
        <v>744</v>
      </c>
      <c r="M24" s="1086">
        <f ca="1">INDIRECT("'数据-取费表'!Am"&amp;$G$1)</f>
        <v>8.0000000000000002E-3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1357"/>
      <c r="F25" s="23"/>
      <c r="G25" s="1381"/>
      <c r="H25" s="1079" t="s">
        <v>394</v>
      </c>
      <c r="I25" s="1094" t="s">
        <v>752</v>
      </c>
      <c r="J25" s="310">
        <f ca="1">J5-J16</f>
        <v>-110</v>
      </c>
      <c r="K25" s="1095" t="s">
        <v>753</v>
      </c>
      <c r="L25" s="1096"/>
      <c r="M25" s="1097"/>
    </row>
    <row r="26" spans="1:37">
      <c r="A26" s="982" t="s">
        <v>397</v>
      </c>
      <c r="B26" s="302" t="s">
        <v>754</v>
      </c>
      <c r="C26" s="21">
        <f ca="1">ROUND((C19+C20)*F26,0)</f>
        <v>575</v>
      </c>
      <c r="D26" s="3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9" t="s">
        <v>401</v>
      </c>
      <c r="B29" s="1090" t="s">
        <v>767</v>
      </c>
      <c r="C29" s="1091">
        <f ca="1">ROUND((C19+C20+C23+C26)/(1-F21-C24-C27-C28),0)</f>
        <v>13476</v>
      </c>
      <c r="D29" s="1092"/>
      <c r="E29" s="1090"/>
      <c r="F29" s="1093"/>
      <c r="G29" s="1393"/>
      <c r="H29" s="334" t="s">
        <v>396</v>
      </c>
      <c r="I29" s="335" t="s">
        <v>768</v>
      </c>
      <c r="J29" s="336">
        <f ca="1">ROUND(J26/(1+F40)^F41,0)</f>
        <v>0</v>
      </c>
      <c r="K29" s="337" t="s">
        <v>769</v>
      </c>
      <c r="L29" s="338"/>
      <c r="M29" s="339">
        <f ca="1">INDIRECT("'数据-取费表'!k"&amp;$G$1)</f>
        <v>33430.07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9" t="s">
        <v>393</v>
      </c>
      <c r="B30" s="1080" t="s">
        <v>714</v>
      </c>
      <c r="C30" s="310">
        <f ca="1">ROUND(C31+C36+C37+C38,0)</f>
        <v>199</v>
      </c>
      <c r="D30" s="1087" t="s">
        <v>715</v>
      </c>
      <c r="E30" s="1088"/>
      <c r="F30" s="1072"/>
      <c r="G30" s="1381"/>
      <c r="H30" s="2688"/>
      <c r="I30" s="1395"/>
      <c r="J30" s="1396"/>
      <c r="K30" s="2467"/>
      <c r="L30" s="2689"/>
      <c r="M30" s="2690"/>
    </row>
    <row r="31" spans="1:37" ht="18" customHeight="1">
      <c r="A31" s="982" t="s">
        <v>398</v>
      </c>
      <c r="B31" s="302" t="s">
        <v>719</v>
      </c>
      <c r="C31" s="2309">
        <f ca="1">ROUND(IF(AND(项目基本情况!B11="自然人",项目基本情况!B10="北京市"),C6*F31/(1+'数据-取费表'!C42),C32+C33+C34),2)</f>
        <v>74.58</v>
      </c>
      <c r="D31" s="1342" t="s">
        <v>720</v>
      </c>
      <c r="E31" s="1341" t="s">
        <v>770</v>
      </c>
      <c r="F31" s="2308" t="str">
        <f>IF(项目基本情况!B11="企业","——",IF(M47="住宅",IF(F6*F7*F8/12/(1+'数据-取费表'!F30)&gt;100000,4%,2.5%),IF(F6*F7*F8/12/(1+'数据-取费表'!F30)&gt;100000,12%,7%)))</f>
        <v>——</v>
      </c>
      <c r="G31" s="1381"/>
      <c r="H31" s="2799" t="s">
        <v>2302</v>
      </c>
      <c r="I31" s="1395"/>
      <c r="J31" s="1396"/>
      <c r="K31" s="2467"/>
      <c r="L31" s="2689"/>
      <c r="M31" s="2690"/>
    </row>
    <row r="32" spans="1:37" ht="18" customHeight="1">
      <c r="A32" s="982" t="s">
        <v>397</v>
      </c>
      <c r="B32" s="302" t="s">
        <v>723</v>
      </c>
      <c r="C32" s="21">
        <f ca="1">IF(项目基本情况!B11="自然人","——",ROUND(C6*F32/(1+'数据-取费表'!C42),2))</f>
        <v>22.89</v>
      </c>
      <c r="D32" s="1341" t="s">
        <v>724</v>
      </c>
      <c r="E32" s="302" t="s">
        <v>712</v>
      </c>
      <c r="F32" s="331">
        <f>'数据-取费表'!B41</f>
        <v>5.5000000000000007E-2</v>
      </c>
      <c r="G32" s="1381"/>
      <c r="H32" s="2688"/>
      <c r="I32" s="1395"/>
      <c r="J32" s="1396"/>
      <c r="K32" s="2467"/>
      <c r="L32" s="2689"/>
      <c r="M32" s="2690"/>
    </row>
    <row r="33" spans="1:18" ht="18" customHeight="1">
      <c r="A33" s="982" t="s">
        <v>399</v>
      </c>
      <c r="B33" s="302" t="s">
        <v>727</v>
      </c>
      <c r="C33" s="21">
        <f ca="1">IF(项目基本情况!B11="自然人","——",IF(D33="按租金收入计税",ROUND(C6*F33/(1+'数据-取费表'!C42),2),IF(D33="按房产原值计税",ROUND(C29*F33*0.7,2),INDIRECT("'数据-取费表'!Aj"&amp;$G$1))))</f>
        <v>49.94</v>
      </c>
      <c r="D33" s="1367" t="s">
        <v>3334</v>
      </c>
      <c r="E33" s="302" t="s">
        <v>712</v>
      </c>
      <c r="F33" s="322">
        <f>IF(D33="按票据","——",IF(D33="按租金收入计税",'数据-取费表'!B51,'数据-取费表'!B50))</f>
        <v>0.12</v>
      </c>
      <c r="G33" s="1381"/>
      <c r="H33" s="2691"/>
      <c r="I33" s="1395"/>
      <c r="J33" s="1396"/>
      <c r="K33" s="2692"/>
      <c r="L33" s="2691"/>
      <c r="M33" s="2691"/>
    </row>
    <row r="34" spans="1:18" ht="18" customHeight="1">
      <c r="A34" s="1069" t="s">
        <v>680</v>
      </c>
      <c r="B34" s="155" t="s">
        <v>730</v>
      </c>
      <c r="C34" s="22">
        <f ca="1">IF(项目基本情况!B11="自然人","——",ROUND(F34*F35/10000,2))</f>
        <v>1.75</v>
      </c>
      <c r="D34" s="324" t="s">
        <v>731</v>
      </c>
      <c r="E34" s="302" t="s">
        <v>732</v>
      </c>
      <c r="F34" s="325">
        <f>'数据-取费表'!B52</f>
        <v>1.5</v>
      </c>
      <c r="G34" s="1381"/>
      <c r="H34" s="2688"/>
      <c r="I34" s="1395"/>
      <c r="J34" s="1396"/>
      <c r="K34" s="2693"/>
      <c r="L34" s="2694"/>
      <c r="M34" s="2694"/>
    </row>
    <row r="35" spans="1:18" ht="18" customHeight="1">
      <c r="A35" s="1103"/>
      <c r="B35" s="1101"/>
      <c r="C35" s="26"/>
      <c r="D35" s="327"/>
      <c r="E35" s="302" t="s">
        <v>736</v>
      </c>
      <c r="F35" s="303">
        <f ca="1">INDIRECT("'数据-取费表'!r"&amp;$G$1)</f>
        <v>11670.599999999999</v>
      </c>
      <c r="G35" s="1381"/>
      <c r="H35" s="2688"/>
      <c r="I35" s="1395"/>
      <c r="J35" s="1396"/>
      <c r="K35" s="2692"/>
      <c r="L35" s="2691"/>
      <c r="M35" s="2691"/>
    </row>
    <row r="36" spans="1:18" ht="18" customHeight="1">
      <c r="A36" s="1102" t="s">
        <v>402</v>
      </c>
      <c r="B36" s="302" t="s">
        <v>738</v>
      </c>
      <c r="C36" s="21">
        <f ca="1">ROUND(C29*F36,2)</f>
        <v>107.81</v>
      </c>
      <c r="D36" s="1341" t="s">
        <v>771</v>
      </c>
      <c r="E36" s="302" t="s">
        <v>712</v>
      </c>
      <c r="F36" s="328">
        <f ca="1">INDIRECT("'数据-取费表'!Ak"&amp;$G$1)</f>
        <v>8.0000000000000002E-3</v>
      </c>
      <c r="G36" s="1381"/>
      <c r="H36" s="2691"/>
      <c r="I36" s="1395"/>
      <c r="J36" s="1396"/>
      <c r="K36" s="2535"/>
      <c r="L36" s="2691"/>
      <c r="M36" s="2691"/>
    </row>
    <row r="37" spans="1:18" ht="18" customHeight="1">
      <c r="A37" s="982" t="s">
        <v>437</v>
      </c>
      <c r="B37" s="302" t="s">
        <v>742</v>
      </c>
      <c r="C37" s="21">
        <f ca="1">ROUND(C13*F37,2)</f>
        <v>13.48</v>
      </c>
      <c r="D37" s="1341" t="s">
        <v>743</v>
      </c>
      <c r="E37" s="302" t="s">
        <v>744</v>
      </c>
      <c r="F37" s="330">
        <f ca="1">INDIRECT("'数据-取费表'!Al"&amp;$G$1)</f>
        <v>1E-3</v>
      </c>
      <c r="G37" s="1381"/>
      <c r="H37" s="2691"/>
      <c r="I37" s="1395"/>
      <c r="J37" s="1396"/>
      <c r="K37" s="2535"/>
      <c r="L37" s="2691"/>
      <c r="M37" s="2691"/>
    </row>
    <row r="38" spans="1:18" ht="18" customHeight="1" thickBot="1">
      <c r="A38" s="1089" t="s">
        <v>684</v>
      </c>
      <c r="B38" s="1090" t="s">
        <v>728</v>
      </c>
      <c r="C38" s="1091">
        <f ca="1">ROUND(C5*F38,2)</f>
        <v>3.5</v>
      </c>
      <c r="D38" s="1092" t="s">
        <v>748</v>
      </c>
      <c r="E38" s="1090" t="s">
        <v>744</v>
      </c>
      <c r="F38" s="1086">
        <f ca="1">INDIRECT("'数据-取费表'!Am"&amp;$G$1)</f>
        <v>8.0000000000000002E-3</v>
      </c>
      <c r="G38" s="1381"/>
      <c r="H38" s="2691"/>
      <c r="I38" s="1395"/>
      <c r="J38" s="1396"/>
      <c r="K38" s="2695"/>
      <c r="L38" s="2691"/>
      <c r="M38" s="2691"/>
    </row>
    <row r="39" spans="1:18" ht="24.6" customHeight="1" thickTop="1">
      <c r="A39" s="1079" t="s">
        <v>394</v>
      </c>
      <c r="B39" s="1094" t="s">
        <v>772</v>
      </c>
      <c r="C39" s="310">
        <f ca="1">C5-C30</f>
        <v>238</v>
      </c>
      <c r="D39" s="1095" t="s">
        <v>773</v>
      </c>
      <c r="E39" s="1096"/>
      <c r="F39" s="1097"/>
      <c r="G39" s="1381"/>
      <c r="H39" s="2691"/>
      <c r="I39" s="1395"/>
      <c r="J39" s="1396"/>
      <c r="K39" s="2695"/>
      <c r="L39" s="2691"/>
      <c r="M39" s="2691"/>
    </row>
    <row r="40" spans="1:18" ht="18" customHeight="1">
      <c r="A40" s="299" t="s">
        <v>395</v>
      </c>
      <c r="B40" s="300" t="s">
        <v>774</v>
      </c>
      <c r="C40" s="301">
        <f ca="1">ROUND(C39*(1-((1+F42)/(1+F40))^F41)/(F40-F42),0)</f>
        <v>5752</v>
      </c>
      <c r="D40" s="324" t="s">
        <v>758</v>
      </c>
      <c r="E40" s="302" t="s">
        <v>759</v>
      </c>
      <c r="F40" s="312">
        <f ca="1">INDIRECT("'数据-取费表'!I"&amp;$G$1)</f>
        <v>0.05</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44.54</v>
      </c>
      <c r="G41" s="1381"/>
      <c r="H41" s="1188">
        <f ca="1">C40/F7*10000</f>
        <v>56894.164193867451</v>
      </c>
      <c r="I41" s="1395"/>
      <c r="J41" s="1396"/>
      <c r="K41" s="2535"/>
      <c r="L41" s="1188"/>
      <c r="M41" s="1188"/>
    </row>
    <row r="42" spans="1:18" ht="18" customHeight="1">
      <c r="A42" s="308"/>
      <c r="B42" s="309"/>
      <c r="C42" s="310"/>
      <c r="D42" s="327"/>
      <c r="E42" s="302" t="s">
        <v>766</v>
      </c>
      <c r="F42" s="312">
        <f ca="1">INDIRECT("'数据-取费表'!v"&amp;$G$1)</f>
        <v>0.02</v>
      </c>
      <c r="G42" s="1381"/>
      <c r="H42" s="1188"/>
      <c r="I42" s="1395"/>
      <c r="J42" s="1396"/>
      <c r="K42" s="2535"/>
      <c r="L42" s="1188"/>
      <c r="M42" s="1188"/>
    </row>
    <row r="43" spans="1:18" ht="18" customHeight="1" thickBot="1">
      <c r="A43" s="334" t="s">
        <v>396</v>
      </c>
      <c r="B43" s="335" t="s">
        <v>776</v>
      </c>
      <c r="C43" s="336">
        <f ca="1">ROUND(C40*10000/F43,0)</f>
        <v>1721</v>
      </c>
      <c r="D43" s="337" t="s">
        <v>777</v>
      </c>
      <c r="E43" s="338" t="s">
        <v>778</v>
      </c>
      <c r="F43" s="339">
        <f ca="1">INDIRECT("'数据-取费表'!k"&amp;$G$1)</f>
        <v>33430.07</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6" t="s">
        <v>808</v>
      </c>
      <c r="P45" s="1458"/>
      <c r="Q45" s="1458"/>
      <c r="R45" s="1458"/>
    </row>
    <row r="46" spans="1:18" s="1381" customFormat="1" ht="13.5" thickBot="1">
      <c r="A46" s="1401" t="s">
        <v>809</v>
      </c>
      <c r="C46" s="1402">
        <f ca="1">C68-C40</f>
        <v>-7932</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6" t="s">
        <v>687</v>
      </c>
      <c r="B47" s="978" t="s">
        <v>688</v>
      </c>
      <c r="C47" s="1117" t="s">
        <v>689</v>
      </c>
      <c r="D47" s="978" t="s">
        <v>690</v>
      </c>
      <c r="E47" s="1058" t="s">
        <v>691</v>
      </c>
      <c r="F47" s="1059"/>
      <c r="G47" s="722"/>
      <c r="I47" s="1411" t="s">
        <v>815</v>
      </c>
      <c r="J47" s="1412" t="s">
        <v>3388</v>
      </c>
      <c r="K47" s="1413" t="s">
        <v>816</v>
      </c>
      <c r="L47" s="1414">
        <f ca="1">INDIRECT("'数据-取费表'!d"&amp;$G$1)</f>
        <v>50</v>
      </c>
      <c r="M47" s="1377" t="str">
        <f>IF(ISNUMBER(FIND("住宅",C1)),"住宅","非住宅")</f>
        <v>非住宅</v>
      </c>
      <c r="O47" s="1415" t="s">
        <v>403</v>
      </c>
      <c r="P47" s="1416" t="s">
        <v>817</v>
      </c>
      <c r="Q47" s="1417">
        <f ca="1">C40+J29</f>
        <v>5752</v>
      </c>
      <c r="R47" s="1417" t="s">
        <v>818</v>
      </c>
    </row>
    <row r="48" spans="1:18" s="1381" customFormat="1" ht="28.5" thickBot="1">
      <c r="A48" s="1110" t="s">
        <v>438</v>
      </c>
      <c r="B48" s="300" t="s">
        <v>692</v>
      </c>
      <c r="C48" s="1356">
        <f ca="1">C49+C53+C55</f>
        <v>0</v>
      </c>
      <c r="D48" s="1112"/>
      <c r="E48" s="1113"/>
      <c r="F48" s="962"/>
      <c r="G48" s="722"/>
      <c r="H48" s="723"/>
      <c r="I48" s="1418" t="s">
        <v>819</v>
      </c>
      <c r="J48" s="1419" t="s">
        <v>3389</v>
      </c>
      <c r="K48" s="1420" t="s">
        <v>820</v>
      </c>
      <c r="L48" s="1421">
        <f ca="1">INDIRECT("'数据-取费表'!f"&amp;$G$1)</f>
        <v>44.54</v>
      </c>
      <c r="O48" s="1415" t="s">
        <v>404</v>
      </c>
      <c r="P48" s="1416" t="s">
        <v>821</v>
      </c>
      <c r="Q48" s="1417" t="str">
        <f ca="1">J60</f>
        <v>0</v>
      </c>
      <c r="R48" s="1417" t="s">
        <v>822</v>
      </c>
    </row>
    <row r="49" spans="1:18" s="1381" customFormat="1" ht="13.5" thickBot="1">
      <c r="A49" s="975" t="s">
        <v>439</v>
      </c>
      <c r="B49" s="1368" t="s">
        <v>779</v>
      </c>
      <c r="C49" s="1114">
        <f ca="1">ROUND(F49*F51*F50*(1-F52)/10000,0)</f>
        <v>0</v>
      </c>
      <c r="D49" s="1055" t="s">
        <v>2106</v>
      </c>
      <c r="E49" s="1369" t="s">
        <v>780</v>
      </c>
      <c r="F49" s="1060"/>
      <c r="G49" s="1422"/>
      <c r="H49" s="723"/>
      <c r="I49" s="1418" t="s">
        <v>823</v>
      </c>
      <c r="J49" s="1423">
        <v>2020</v>
      </c>
      <c r="K49" s="1420" t="s">
        <v>824</v>
      </c>
      <c r="L49" s="1424"/>
      <c r="O49" s="1425" t="s">
        <v>405</v>
      </c>
      <c r="P49" s="1416" t="s">
        <v>825</v>
      </c>
      <c r="Q49" s="1417">
        <f ca="1">C29</f>
        <v>13476</v>
      </c>
      <c r="R49" s="1417" t="s">
        <v>818</v>
      </c>
    </row>
    <row r="50" spans="1:18" s="1381" customFormat="1" ht="13.5" thickBot="1">
      <c r="A50" s="976"/>
      <c r="B50" s="979"/>
      <c r="C50" s="1118"/>
      <c r="D50" s="953"/>
      <c r="E50" s="1056" t="s">
        <v>697</v>
      </c>
      <c r="F50" s="1057">
        <f ca="1">F7</f>
        <v>1011</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7"/>
      <c r="B51" s="979"/>
      <c r="C51" s="980"/>
      <c r="D51" s="953"/>
      <c r="E51" s="981" t="s">
        <v>698</v>
      </c>
      <c r="F51" s="303">
        <f ca="1">F8</f>
        <v>12</v>
      </c>
      <c r="I51" s="1429" t="s">
        <v>829</v>
      </c>
      <c r="J51" s="1430">
        <f>IF(J49="",J50,J49+J50-YEAR('数据-取费表'!B2))</f>
        <v>57</v>
      </c>
      <c r="K51" s="1431" t="s">
        <v>830</v>
      </c>
      <c r="L51" s="1432">
        <f ca="1">ROUND(-PV(INDIRECT("'数据-取费表'!h"&amp;$G$1),J51,(C39-C13*C76),0),0)</f>
        <v>-14399</v>
      </c>
      <c r="M51" s="1433"/>
      <c r="O51" s="1425" t="s">
        <v>407</v>
      </c>
      <c r="P51" s="1416" t="s">
        <v>831</v>
      </c>
      <c r="Q51" s="1428">
        <f>J52</f>
        <v>7.4999999999999997E-2</v>
      </c>
      <c r="R51" s="1417"/>
    </row>
    <row r="52" spans="1:18" s="1381" customFormat="1" ht="13.5" thickBot="1">
      <c r="A52" s="977"/>
      <c r="B52" s="979"/>
      <c r="C52" s="980"/>
      <c r="D52" s="953"/>
      <c r="E52" s="981" t="s">
        <v>699</v>
      </c>
      <c r="F52" s="1054"/>
      <c r="I52" s="1434" t="s">
        <v>832</v>
      </c>
      <c r="J52" s="1435">
        <v>7.4999999999999997E-2</v>
      </c>
      <c r="K52" s="1434" t="s">
        <v>833</v>
      </c>
      <c r="L52" s="1435"/>
      <c r="O52" s="1425" t="s">
        <v>408</v>
      </c>
      <c r="P52" s="1416" t="s">
        <v>834</v>
      </c>
      <c r="Q52" s="1417">
        <f ca="1">J53</f>
        <v>44.54</v>
      </c>
      <c r="R52" s="1417" t="s">
        <v>835</v>
      </c>
    </row>
    <row r="53" spans="1:18" s="1381" customFormat="1" ht="24.75" thickBot="1">
      <c r="A53" s="1152" t="s">
        <v>440</v>
      </c>
      <c r="B53" s="1370" t="s">
        <v>700</v>
      </c>
      <c r="C53" s="316">
        <f ca="1">ROUND(IF(F53="押一",C49/12*F11,IF(F53="押二",C49/12*2*F11,IF(F53="押三",C49/12*3*F11,C54*F11))),0)</f>
        <v>0</v>
      </c>
      <c r="D53" s="1363" t="s">
        <v>2112</v>
      </c>
      <c r="E53" s="313" t="s">
        <v>701</v>
      </c>
      <c r="F53" s="1116"/>
      <c r="I53" s="1436" t="s">
        <v>836</v>
      </c>
      <c r="J53" s="2161">
        <f ca="1">IF(M47="住宅",IF(D1="——",MAX(J51,L48),MAX(J51,L48-'数据-取费表'!B24)),IF(D1="——",MIN(J51,L48),MIN(J51,L48-'数据-取费表'!B24)))</f>
        <v>44.54</v>
      </c>
      <c r="K53" s="3768" t="s">
        <v>837</v>
      </c>
      <c r="L53" s="3769"/>
      <c r="O53" s="1415" t="s">
        <v>409</v>
      </c>
      <c r="P53" s="1416" t="s">
        <v>838</v>
      </c>
      <c r="Q53" s="1417">
        <f ca="1">Q47+Q48</f>
        <v>5752</v>
      </c>
      <c r="R53" s="1417" t="s">
        <v>410</v>
      </c>
    </row>
    <row r="54" spans="1:18" s="1381" customFormat="1" ht="13.5" thickBot="1">
      <c r="A54" s="1153"/>
      <c r="B54" s="1364" t="s">
        <v>679</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3" t="s">
        <v>437</v>
      </c>
      <c r="B55" s="1366" t="s">
        <v>703</v>
      </c>
      <c r="C55" s="1084"/>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7">
        <v>2</v>
      </c>
      <c r="B56" s="958" t="s">
        <v>704</v>
      </c>
      <c r="C56" s="232">
        <f ca="1">C13</f>
        <v>13476</v>
      </c>
      <c r="D56" s="1444"/>
      <c r="E56" s="1445"/>
      <c r="F56" s="1437"/>
      <c r="I56" s="1446" t="s">
        <v>842</v>
      </c>
      <c r="J56" s="1447" t="s">
        <v>3383</v>
      </c>
      <c r="K56" s="1418" t="s">
        <v>843</v>
      </c>
      <c r="L56" s="1421" t="str">
        <f ca="1">IF(L48&lt;J51,"——",L48-J53)</f>
        <v>——</v>
      </c>
      <c r="O56" s="1415" t="s">
        <v>403</v>
      </c>
      <c r="P56" s="1416" t="s">
        <v>817</v>
      </c>
      <c r="Q56" s="1417">
        <f ca="1">C40+J29</f>
        <v>5752</v>
      </c>
      <c r="R56" s="1417" t="s">
        <v>818</v>
      </c>
    </row>
    <row r="57" spans="1:18" s="1381" customFormat="1" ht="24.75" thickBot="1">
      <c r="A57" s="1448"/>
      <c r="B57" s="950" t="s">
        <v>767</v>
      </c>
      <c r="C57" s="238">
        <f ca="1">C29</f>
        <v>13476</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8" t="s">
        <v>714</v>
      </c>
      <c r="C58" s="316">
        <f ca="1">ROUND(C59+C64+C65+C66,0)</f>
        <v>123</v>
      </c>
      <c r="D58" s="960" t="s">
        <v>715</v>
      </c>
      <c r="E58" s="961"/>
      <c r="F58" s="962"/>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09">
        <f ca="1">ROUND(IF(AND(项目基本情况!B11="自然人",项目基本情况!B10="北京市"),C49*F59/(1+'数据-取费表'!C42),C60+C61+C62),0)</f>
        <v>2</v>
      </c>
      <c r="D59" s="963" t="s">
        <v>720</v>
      </c>
      <c r="E59" s="964" t="s">
        <v>721</v>
      </c>
      <c r="F59" s="2308"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IF(项目基本情况!B11="自然人","——",IF(D61="按租金收入计税",ROUND(C49*F61/(1+'数据-取费表'!C42),2),IF(D61="按房产原值计税",ROUND(C57*F61*0.7,2),INDIRECT("'数据-取费表'!Aj"&amp;$G$1))))</f>
        <v>0</v>
      </c>
      <c r="D61" s="1367" t="s">
        <v>3334</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IF(项目基本情况!B11="自然人","——",ROUND(F62*F63/10000,2))</f>
        <v>1.75</v>
      </c>
      <c r="D62" s="965" t="s">
        <v>786</v>
      </c>
      <c r="E62" s="950" t="s">
        <v>787</v>
      </c>
      <c r="F62" s="325">
        <f t="shared" si="0"/>
        <v>1.5</v>
      </c>
      <c r="I62" s="1459" t="s">
        <v>858</v>
      </c>
      <c r="J62" s="1460" t="s">
        <v>859</v>
      </c>
      <c r="K62" s="1460" t="s">
        <v>860</v>
      </c>
      <c r="L62" s="1460" t="s">
        <v>861</v>
      </c>
      <c r="M62" s="1461" t="s">
        <v>862</v>
      </c>
      <c r="O62" s="1415" t="s">
        <v>409</v>
      </c>
      <c r="P62" s="1416" t="s">
        <v>863</v>
      </c>
      <c r="Q62" s="1417">
        <f ca="1">Q56+Q57</f>
        <v>5752</v>
      </c>
      <c r="R62" s="1417" t="s">
        <v>410</v>
      </c>
    </row>
    <row r="63" spans="1:18" s="1381" customFormat="1" ht="13.5" thickBot="1">
      <c r="A63" s="326"/>
      <c r="B63" s="956"/>
      <c r="C63" s="26"/>
      <c r="D63" s="966"/>
      <c r="E63" s="950" t="s">
        <v>788</v>
      </c>
      <c r="F63" s="303">
        <f t="shared" ca="1" si="0"/>
        <v>11670.599999999999</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ROUND(C57*F64,2)</f>
        <v>107.81</v>
      </c>
      <c r="D64" s="964" t="s">
        <v>791</v>
      </c>
      <c r="E64" s="950" t="s">
        <v>783</v>
      </c>
      <c r="F64" s="328">
        <f t="shared" ca="1" si="0"/>
        <v>8.0000000000000002E-3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ROUND(C56*F65,2)</f>
        <v>13.48</v>
      </c>
      <c r="D65" s="964" t="s">
        <v>743</v>
      </c>
      <c r="E65" s="950" t="s">
        <v>744</v>
      </c>
      <c r="F65" s="330">
        <f t="shared" ca="1" si="0"/>
        <v>1E-3</v>
      </c>
      <c r="I65" s="1459" t="s">
        <v>867</v>
      </c>
      <c r="J65" s="1460">
        <v>40</v>
      </c>
      <c r="K65" s="1460">
        <v>30</v>
      </c>
      <c r="L65" s="1460">
        <v>50</v>
      </c>
      <c r="M65" s="1462">
        <v>0.02</v>
      </c>
      <c r="O65" s="1415" t="s">
        <v>403</v>
      </c>
      <c r="P65" s="1416" t="s">
        <v>868</v>
      </c>
      <c r="Q65" s="1417">
        <f ca="1">C40+J29</f>
        <v>5752</v>
      </c>
      <c r="R65" s="1417" t="s">
        <v>818</v>
      </c>
    </row>
    <row r="66" spans="1:18" s="1381" customFormat="1" ht="16.5" thickBot="1">
      <c r="A66" s="982" t="s">
        <v>793</v>
      </c>
      <c r="B66" s="950" t="s">
        <v>728</v>
      </c>
      <c r="C66" s="21">
        <f ca="1">ROUND(C48*F66,2)</f>
        <v>0</v>
      </c>
      <c r="D66" s="964" t="s">
        <v>794</v>
      </c>
      <c r="E66" s="950" t="s">
        <v>712</v>
      </c>
      <c r="F66" s="312">
        <f t="shared" ca="1" si="0"/>
        <v>8.0000000000000002E-3</v>
      </c>
      <c r="O66" s="1415" t="s">
        <v>404</v>
      </c>
      <c r="P66" s="1416" t="s">
        <v>846</v>
      </c>
      <c r="Q66" s="1417">
        <f ca="1">L60</f>
        <v>0</v>
      </c>
      <c r="R66" s="1417" t="s">
        <v>869</v>
      </c>
    </row>
    <row r="67" spans="1:18" s="1381" customFormat="1" ht="16.5" thickBot="1">
      <c r="A67" s="957" t="s">
        <v>394</v>
      </c>
      <c r="B67" s="967" t="s">
        <v>752</v>
      </c>
      <c r="C67" s="316">
        <f ca="1">C48-C58</f>
        <v>-123</v>
      </c>
      <c r="D67" s="963" t="s">
        <v>753</v>
      </c>
      <c r="E67" s="968"/>
      <c r="F67" s="969"/>
      <c r="O67" s="1425" t="s">
        <v>405</v>
      </c>
      <c r="P67" s="1416" t="s">
        <v>850</v>
      </c>
      <c r="Q67" s="1463">
        <f ca="1">L51</f>
        <v>-14399</v>
      </c>
      <c r="R67" s="1417" t="s">
        <v>870</v>
      </c>
    </row>
    <row r="68" spans="1:18" s="1381" customFormat="1" ht="16.5" thickBot="1">
      <c r="A68" s="947" t="s">
        <v>395</v>
      </c>
      <c r="B68" s="948" t="s">
        <v>774</v>
      </c>
      <c r="C68" s="301">
        <f ca="1">ROUND(C67*(1-((1+F70)/(1+F68))^F69)/(F68-F70),0)</f>
        <v>-2180</v>
      </c>
      <c r="D68" s="965" t="s">
        <v>758</v>
      </c>
      <c r="E68" s="950" t="s">
        <v>759</v>
      </c>
      <c r="F68" s="312">
        <f ca="1">F40</f>
        <v>0.05</v>
      </c>
      <c r="O68" s="1425" t="s">
        <v>406</v>
      </c>
      <c r="P68" s="1464" t="s">
        <v>871</v>
      </c>
      <c r="Q68" s="1417">
        <f ca="1">ROUND(Q69-Q70*Q71,0)</f>
        <v>-705</v>
      </c>
      <c r="R68" s="1417" t="s">
        <v>414</v>
      </c>
    </row>
    <row r="69" spans="1:18" s="1381" customFormat="1" ht="13.5" thickBot="1">
      <c r="A69" s="951"/>
      <c r="B69" s="952"/>
      <c r="C69" s="306"/>
      <c r="D69" s="970" t="s">
        <v>762</v>
      </c>
      <c r="E69" s="950" t="s">
        <v>763</v>
      </c>
      <c r="F69" s="333">
        <f ca="1">F41</f>
        <v>44.54</v>
      </c>
      <c r="O69" s="1425" t="s">
        <v>411</v>
      </c>
      <c r="P69" s="1464" t="s">
        <v>872</v>
      </c>
      <c r="Q69" s="1417">
        <f ca="1">C39</f>
        <v>238</v>
      </c>
      <c r="R69" s="1417" t="s">
        <v>818</v>
      </c>
    </row>
    <row r="70" spans="1:18" s="1381" customFormat="1" ht="13.5" thickBot="1">
      <c r="A70" s="954"/>
      <c r="B70" s="955"/>
      <c r="C70" s="310"/>
      <c r="D70" s="966"/>
      <c r="E70" s="950" t="s">
        <v>766</v>
      </c>
      <c r="F70" s="1054"/>
      <c r="O70" s="1425" t="s">
        <v>412</v>
      </c>
      <c r="P70" s="1464" t="s">
        <v>873</v>
      </c>
      <c r="Q70" s="1417">
        <f ca="1">C13</f>
        <v>13476</v>
      </c>
      <c r="R70" s="1417" t="s">
        <v>818</v>
      </c>
    </row>
    <row r="71" spans="1:18" s="1381" customFormat="1" ht="13.5" thickBot="1">
      <c r="A71" s="971" t="s">
        <v>396</v>
      </c>
      <c r="B71" s="972" t="s">
        <v>776</v>
      </c>
      <c r="C71" s="336">
        <f ca="1">ROUND(C68*10000/F71,0)</f>
        <v>-652</v>
      </c>
      <c r="D71" s="973" t="s">
        <v>777</v>
      </c>
      <c r="E71" s="974" t="s">
        <v>778</v>
      </c>
      <c r="F71" s="339">
        <f ca="1">F43</f>
        <v>33430.07</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943</v>
      </c>
      <c r="D75" s="1381"/>
      <c r="E75" s="1381"/>
      <c r="F75" s="1381"/>
      <c r="K75" s="1399"/>
      <c r="L75" s="1381"/>
      <c r="O75" s="1415" t="s">
        <v>409</v>
      </c>
      <c r="P75" s="1416" t="s">
        <v>838</v>
      </c>
      <c r="Q75" s="1417">
        <f ca="1">Q65+Q66</f>
        <v>5752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-2.9620000000000002</v>
      </c>
    </row>
    <row r="80" spans="1:18">
      <c r="B80" s="340" t="s">
        <v>800</v>
      </c>
      <c r="C80" s="274">
        <f ca="1">ROUND(C75/C39,3)</f>
        <v>3.9620000000000002</v>
      </c>
    </row>
    <row r="81" spans="2:3">
      <c r="B81" s="270" t="s">
        <v>801</v>
      </c>
      <c r="C81" s="238"/>
    </row>
    <row r="82" spans="2:3">
      <c r="B82" s="273" t="s">
        <v>802</v>
      </c>
      <c r="C82" s="275">
        <f ca="1">1-C83</f>
        <v>-1.343</v>
      </c>
    </row>
    <row r="83" spans="2:3">
      <c r="B83" s="273" t="s">
        <v>803</v>
      </c>
      <c r="C83" s="274">
        <f ca="1">ROUND(C13/C40,3)</f>
        <v>2.343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3670</v>
      </c>
      <c r="D1" s="1359" t="s">
        <v>43</v>
      </c>
      <c r="E1" s="1360" t="s">
        <v>678</v>
      </c>
      <c r="F1" s="1062">
        <f ca="1">J53</f>
        <v>44.54</v>
      </c>
      <c r="G1" s="1375">
        <f>MATCH(C1,'数据-取费表'!A6:A16,0)+5</f>
        <v>7</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3770</v>
      </c>
      <c r="C2" s="1384" t="s">
        <v>805</v>
      </c>
      <c r="D2" s="1384"/>
      <c r="E2" s="1385"/>
      <c r="F2" s="1386"/>
      <c r="G2" s="2697"/>
      <c r="H2" s="2686"/>
      <c r="I2" s="2686"/>
      <c r="J2" s="2686"/>
      <c r="K2" s="2687"/>
      <c r="L2" s="2686"/>
      <c r="M2" s="2686"/>
    </row>
    <row r="3" spans="1:37" ht="18" customHeight="1" thickBot="1">
      <c r="A3" s="1387" t="s">
        <v>806</v>
      </c>
      <c r="B3" s="1388">
        <f ca="1">IF(ISERROR(B2*10000/F43),0,ROUND(B2*10000/F43,0))</f>
        <v>4364</v>
      </c>
      <c r="C3" s="1384" t="s">
        <v>807</v>
      </c>
      <c r="D3" s="1384"/>
      <c r="E3" s="1385"/>
      <c r="F3" s="1386"/>
      <c r="G3" s="2697"/>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227</v>
      </c>
      <c r="D5" s="1361" t="s">
        <v>693</v>
      </c>
      <c r="E5" s="1071"/>
      <c r="F5" s="1072"/>
      <c r="G5" s="1381"/>
      <c r="H5" s="299">
        <v>1</v>
      </c>
      <c r="I5" s="300" t="s">
        <v>692</v>
      </c>
      <c r="J5" s="1070">
        <f ca="1">J6+J10+J12</f>
        <v>0</v>
      </c>
      <c r="K5" s="1361" t="s">
        <v>693</v>
      </c>
      <c r="L5" s="1071"/>
      <c r="M5" s="1072"/>
    </row>
    <row r="6" spans="1:37" ht="18" customHeight="1">
      <c r="A6" s="1069" t="s">
        <v>398</v>
      </c>
      <c r="B6" s="3770" t="s">
        <v>694</v>
      </c>
      <c r="C6" s="1074">
        <f ca="1">ROUND(F6*F8*F7*(1-F9)/10000,0)</f>
        <v>227</v>
      </c>
      <c r="D6" s="155" t="s">
        <v>2105</v>
      </c>
      <c r="E6" s="302" t="s">
        <v>696</v>
      </c>
      <c r="F6" s="303">
        <f ca="1">INDIRECT("'数据-取费表'!u"&amp;$G$1)</f>
        <v>0.8</v>
      </c>
      <c r="G6" s="1381"/>
      <c r="H6" s="1069" t="s">
        <v>398</v>
      </c>
      <c r="I6" s="3770" t="s">
        <v>694</v>
      </c>
      <c r="J6" s="301">
        <f ca="1">ROUND(M6*M8*M7*(1-M9)/10000,0)</f>
        <v>0</v>
      </c>
      <c r="K6" s="155" t="s">
        <v>2104</v>
      </c>
      <c r="L6" s="302" t="s">
        <v>696</v>
      </c>
      <c r="M6" s="303">
        <f ca="1">INDIRECT("'数据-取费表'!z"&amp;$G$1)</f>
        <v>0</v>
      </c>
    </row>
    <row r="7" spans="1:37" ht="18" customHeight="1">
      <c r="A7" s="1073"/>
      <c r="B7" s="3771"/>
      <c r="C7" s="1075"/>
      <c r="D7" s="307"/>
      <c r="E7" s="3457" t="s">
        <v>697</v>
      </c>
      <c r="F7" s="303">
        <f ca="1">IF(INDIRECT("'数据-取费表'!ah"&amp;$G$1)="",INDIRECT("'数据-取费表'!k"&amp;$G$1),INDIRECT("'数据-取费表'!ah"&amp;$G$1))</f>
        <v>8639.4699999999993</v>
      </c>
      <c r="G7" s="1381"/>
      <c r="H7" s="304"/>
      <c r="I7" s="3771"/>
      <c r="J7" s="306"/>
      <c r="K7" s="307"/>
      <c r="L7" s="302" t="s">
        <v>697</v>
      </c>
      <c r="M7" s="303">
        <f ca="1">F7</f>
        <v>8639.4699999999993</v>
      </c>
    </row>
    <row r="8" spans="1:37" ht="18" customHeight="1">
      <c r="A8" s="304"/>
      <c r="B8" s="3771"/>
      <c r="C8" s="306"/>
      <c r="D8" s="307"/>
      <c r="E8" s="302" t="s">
        <v>698</v>
      </c>
      <c r="F8" s="303">
        <f ca="1">INDIRECT("'数据-取费表'!ai"&amp;$G$1)</f>
        <v>365</v>
      </c>
      <c r="G8" s="1381"/>
      <c r="H8" s="304"/>
      <c r="I8" s="3771"/>
      <c r="J8" s="306"/>
      <c r="K8" s="307"/>
      <c r="L8" s="302" t="s">
        <v>698</v>
      </c>
      <c r="M8" s="303">
        <f ca="1">INDIRECT("'数据-取费表'!ai"&amp;$G$1)</f>
        <v>365</v>
      </c>
    </row>
    <row r="9" spans="1:37" ht="18" customHeight="1">
      <c r="A9" s="304"/>
      <c r="B9" s="3772"/>
      <c r="C9" s="306"/>
      <c r="D9" s="307"/>
      <c r="E9" s="302" t="s">
        <v>699</v>
      </c>
      <c r="F9" s="312">
        <f ca="1">INDIRECT("'数据-取费表'!w"&amp;$G$1)</f>
        <v>0.1</v>
      </c>
      <c r="G9" s="1381"/>
      <c r="H9" s="304"/>
      <c r="I9" s="3772"/>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2112</v>
      </c>
      <c r="E10" s="313" t="s">
        <v>701</v>
      </c>
      <c r="F10" s="1116" t="s">
        <v>3387</v>
      </c>
      <c r="G10" s="1381"/>
      <c r="H10" s="1069" t="s">
        <v>402</v>
      </c>
      <c r="I10" s="1362" t="s">
        <v>700</v>
      </c>
      <c r="J10" s="301">
        <f ca="1">ROUND(IF(M10="押一",J6/12*M11,IF(M10="押二",J6/12*2*M11,IF(M10="押三",J6/12*3*M11,J11*M11))),0)</f>
        <v>0</v>
      </c>
      <c r="K10" s="1363" t="s">
        <v>2112</v>
      </c>
      <c r="L10" s="313" t="s">
        <v>701</v>
      </c>
      <c r="M10" s="1116"/>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3" t="s">
        <v>437</v>
      </c>
      <c r="B12" s="1366" t="s">
        <v>703</v>
      </c>
      <c r="C12" s="1084"/>
      <c r="D12" s="1085"/>
      <c r="E12" s="1090"/>
      <c r="F12" s="1086"/>
      <c r="G12" s="1381"/>
      <c r="H12" s="1083" t="s">
        <v>437</v>
      </c>
      <c r="I12" s="1366" t="s">
        <v>703</v>
      </c>
      <c r="J12" s="1084"/>
      <c r="K12" s="1098"/>
      <c r="L12" s="1090"/>
      <c r="M12" s="1099"/>
    </row>
    <row r="13" spans="1:37" ht="18" customHeight="1" thickTop="1">
      <c r="A13" s="1079">
        <v>2</v>
      </c>
      <c r="B13" s="1080" t="s">
        <v>704</v>
      </c>
      <c r="C13" s="310">
        <f ca="1">ROUND(C29*F13,0)</f>
        <v>3483</v>
      </c>
      <c r="D13" s="3454" t="s">
        <v>705</v>
      </c>
      <c r="E13" s="3454" t="s">
        <v>706</v>
      </c>
      <c r="F13" s="1082">
        <f ca="1">INDIRECT("'数据-取费表'!y"&amp;$G$1)</f>
        <v>1</v>
      </c>
      <c r="G13" s="1381"/>
      <c r="H13" s="1079">
        <v>2</v>
      </c>
      <c r="I13" s="1080" t="s">
        <v>704</v>
      </c>
      <c r="J13" s="1068">
        <f ca="1">ROUND(J14*J15,0)</f>
        <v>0</v>
      </c>
      <c r="K13" s="1087" t="s">
        <v>705</v>
      </c>
      <c r="L13" s="1389"/>
      <c r="M13" s="1390"/>
    </row>
    <row r="14" spans="1:37" ht="18" customHeight="1">
      <c r="A14" s="982" t="s">
        <v>397</v>
      </c>
      <c r="B14" s="302" t="s">
        <v>707</v>
      </c>
      <c r="C14" s="318">
        <f ca="1">INDIRECT("'数据-取费表'!m"&amp;$G$1)+INDIRECT("'数据-取费表'!t"&amp;$G$1)</f>
        <v>2620</v>
      </c>
      <c r="D14" s="3460" t="s">
        <v>708</v>
      </c>
      <c r="E14" s="3459"/>
      <c r="F14" s="319"/>
      <c r="G14" s="1381"/>
      <c r="H14" s="982" t="s">
        <v>398</v>
      </c>
      <c r="I14" s="302" t="s">
        <v>709</v>
      </c>
      <c r="J14" s="21">
        <f ca="1">C29</f>
        <v>3483</v>
      </c>
      <c r="K14" s="3456"/>
      <c r="L14" s="807"/>
      <c r="M14" s="808"/>
    </row>
    <row r="15" spans="1:37" s="1394" customFormat="1" ht="18" customHeight="1" thickBot="1">
      <c r="A15" s="982" t="s">
        <v>399</v>
      </c>
      <c r="B15" s="302" t="s">
        <v>710</v>
      </c>
      <c r="C15" s="21">
        <f ca="1">ROUND(C14*F15,0)</f>
        <v>79</v>
      </c>
      <c r="D15" s="3455" t="s">
        <v>711</v>
      </c>
      <c r="E15" s="3455" t="s">
        <v>712</v>
      </c>
      <c r="F15" s="321">
        <f>'数据-取费表'!B33</f>
        <v>0.03</v>
      </c>
      <c r="G15" s="1393"/>
      <c r="H15" s="1089" t="s">
        <v>402</v>
      </c>
      <c r="I15" s="1090" t="s">
        <v>706</v>
      </c>
      <c r="J15" s="1099">
        <f ca="1">INDIRECT("'数据-取费表'!ad"&amp;$G$1)</f>
        <v>0</v>
      </c>
      <c r="K15" s="1100"/>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9" t="s">
        <v>393</v>
      </c>
      <c r="I16" s="1080" t="s">
        <v>714</v>
      </c>
      <c r="J16" s="310">
        <f ca="1">ROUND(J17+J22+J23+J24,0)</f>
        <v>28</v>
      </c>
      <c r="K16" s="1087" t="s">
        <v>715</v>
      </c>
      <c r="L16" s="3462"/>
      <c r="M16" s="1072"/>
    </row>
    <row r="17" spans="1:37" s="1394" customFormat="1" ht="18" customHeight="1">
      <c r="A17" s="982" t="s">
        <v>681</v>
      </c>
      <c r="B17" s="302" t="s">
        <v>716</v>
      </c>
      <c r="C17" s="21">
        <f ca="1">ROUND(F17*(F43+INDIRECT("'数据-取费表'!S"&amp;$G$1))/10000,0)</f>
        <v>175</v>
      </c>
      <c r="D17" s="302" t="s">
        <v>717</v>
      </c>
      <c r="E17" s="302" t="s">
        <v>718</v>
      </c>
      <c r="F17" s="23">
        <f>'数据-取费表'!B35</f>
        <v>200</v>
      </c>
      <c r="G17" s="1393"/>
      <c r="H17" s="982" t="s">
        <v>398</v>
      </c>
      <c r="I17" s="302" t="s">
        <v>719</v>
      </c>
      <c r="J17" s="2309">
        <f ca="1">ROUND(IF(AND(项目基本情况!B11="自然人",项目基本情况!B10="北京市"),J6*M17/(1+'数据-取费表'!C42),J18+J19+J20),2)</f>
        <v>0.45</v>
      </c>
      <c r="K17" s="3460" t="s">
        <v>720</v>
      </c>
      <c r="L17" s="3461" t="s">
        <v>721</v>
      </c>
      <c r="M17" s="2308"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39</v>
      </c>
      <c r="D18" s="302" t="s">
        <v>711</v>
      </c>
      <c r="E18" s="302" t="s">
        <v>712</v>
      </c>
      <c r="F18" s="322">
        <f>'数据-取费表'!B36</f>
        <v>1.4999999999999999E-2</v>
      </c>
      <c r="G18" s="1393"/>
      <c r="H18" s="982" t="s">
        <v>397</v>
      </c>
      <c r="I18" s="302" t="s">
        <v>723</v>
      </c>
      <c r="J18" s="21">
        <f ca="1">ROUND(J6*M18/(1+'数据-取费表'!C42),2)</f>
        <v>0</v>
      </c>
      <c r="K18" s="346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2913</v>
      </c>
      <c r="D19" s="131" t="s">
        <v>726</v>
      </c>
      <c r="E19" s="3464"/>
      <c r="F19" s="23"/>
      <c r="G19" s="1381"/>
      <c r="H19" s="982" t="s">
        <v>399</v>
      </c>
      <c r="I19" s="302" t="s">
        <v>727</v>
      </c>
      <c r="J19" s="21">
        <f ca="1">IF(K19="按租金收入计税",ROUND(J6*M19/(1+'数据-取费表'!C42),2),ROUND(C29*M19*0.7,2))</f>
        <v>0</v>
      </c>
      <c r="K19" s="1367" t="s">
        <v>3334</v>
      </c>
      <c r="L19" s="302" t="s">
        <v>712</v>
      </c>
      <c r="M19" s="322">
        <f>IF(K19="按租金收入计税",'数据-取费表'!B51,'数据-取费表'!B50)</f>
        <v>0.12</v>
      </c>
    </row>
    <row r="20" spans="1:37" s="1394" customFormat="1" ht="18" customHeight="1">
      <c r="A20" s="982" t="s">
        <v>402</v>
      </c>
      <c r="B20" s="302" t="s">
        <v>728</v>
      </c>
      <c r="C20" s="21">
        <f ca="1">ROUND(C19*F20,0)</f>
        <v>58</v>
      </c>
      <c r="D20" s="2421" t="s">
        <v>729</v>
      </c>
      <c r="E20" s="302" t="s">
        <v>712</v>
      </c>
      <c r="F20" s="322">
        <f>'数据-取费表'!B37</f>
        <v>0.02</v>
      </c>
      <c r="G20" s="1393"/>
      <c r="H20" s="982" t="s">
        <v>680</v>
      </c>
      <c r="I20" s="155" t="s">
        <v>730</v>
      </c>
      <c r="J20" s="22">
        <f ca="1">ROUND(M20*M21/10000,2)</f>
        <v>0.45</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2421" t="s">
        <v>734</v>
      </c>
      <c r="E21" s="302" t="s">
        <v>735</v>
      </c>
      <c r="F21" s="322">
        <f>'数据-取费表'!B38</f>
        <v>0.02</v>
      </c>
      <c r="G21" s="1393"/>
      <c r="H21" s="326"/>
      <c r="I21" s="311"/>
      <c r="J21" s="26"/>
      <c r="K21" s="327"/>
      <c r="L21" s="302" t="s">
        <v>736</v>
      </c>
      <c r="M21" s="303">
        <f ca="1">INDIRECT("'数据-取费表'!r"&amp;$G$1)</f>
        <v>3016.09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4"/>
      <c r="F22" s="23"/>
      <c r="G22" s="1381"/>
      <c r="H22" s="982" t="s">
        <v>402</v>
      </c>
      <c r="I22" s="302" t="s">
        <v>738</v>
      </c>
      <c r="J22" s="21">
        <f ca="1">ROUND(J14*M22,2)</f>
        <v>27.86</v>
      </c>
      <c r="K22" s="3461" t="s">
        <v>739</v>
      </c>
      <c r="L22" s="302" t="s">
        <v>712</v>
      </c>
      <c r="M22" s="328">
        <f ca="1">INDIRECT("'数据-取费表'!Ak"&amp;$G$1)</f>
        <v>8.0000000000000002E-3</v>
      </c>
    </row>
    <row r="23" spans="1:37" s="1394" customFormat="1" ht="18" customHeight="1">
      <c r="A23" s="982" t="s">
        <v>397</v>
      </c>
      <c r="B23" s="302" t="s">
        <v>740</v>
      </c>
      <c r="C23" s="21">
        <f ca="1">IF('数据-取费表'!B22&lt;=1,ROUND(C19*F24*F23/2,0)+ROUND(C20*F24*F23/2,0),ROUND(C19*(POWER((1+F24),F23/2)-1),0)+ROUND(C20*(POWER((1+F24),F23/2)-1),0))</f>
        <v>105</v>
      </c>
      <c r="D23" s="329" t="str">
        <f>IF(F23&lt;=1,"(建造成本+管理费用)×利率×(建设周期÷2)","(建造成本+管理费用)×((1+利率)^(建设周期÷2)-1)")</f>
        <v>(建造成本+管理费用)×((1+利率)^(建设周期÷2)-1)</v>
      </c>
      <c r="E23" s="302" t="s">
        <v>741</v>
      </c>
      <c r="F23" s="325">
        <f>'数据-取费表'!B20</f>
        <v>2</v>
      </c>
      <c r="G23" s="1393"/>
      <c r="H23" s="982" t="s">
        <v>437</v>
      </c>
      <c r="I23" s="302" t="s">
        <v>742</v>
      </c>
      <c r="J23" s="21">
        <f ca="1">ROUND(J13*M23,2)</f>
        <v>0</v>
      </c>
      <c r="K23" s="346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9" t="s">
        <v>683</v>
      </c>
      <c r="I24" s="1090" t="s">
        <v>728</v>
      </c>
      <c r="J24" s="1091">
        <f ca="1">ROUND(J5*M24,2)</f>
        <v>0</v>
      </c>
      <c r="K24" s="1092" t="s">
        <v>748</v>
      </c>
      <c r="L24" s="1090" t="s">
        <v>744</v>
      </c>
      <c r="M24" s="1086">
        <f ca="1">INDIRECT("'数据-取费表'!Am"&amp;$G$1)</f>
        <v>8.0000000000000002E-3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3464"/>
      <c r="F25" s="23"/>
      <c r="G25" s="1381"/>
      <c r="H25" s="1079" t="s">
        <v>394</v>
      </c>
      <c r="I25" s="1094" t="s">
        <v>752</v>
      </c>
      <c r="J25" s="310">
        <f ca="1">J5-J16</f>
        <v>-28</v>
      </c>
      <c r="K25" s="1095" t="s">
        <v>753</v>
      </c>
      <c r="L25" s="1096"/>
      <c r="M25" s="1097"/>
    </row>
    <row r="26" spans="1:37">
      <c r="A26" s="982" t="s">
        <v>397</v>
      </c>
      <c r="B26" s="302" t="s">
        <v>754</v>
      </c>
      <c r="C26" s="21">
        <f ca="1">ROUND((C19+C20)*F26,0)</f>
        <v>149</v>
      </c>
      <c r="D26" s="2421"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1" t="s">
        <v>761</v>
      </c>
      <c r="E27" s="3455"/>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2421"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9" t="s">
        <v>401</v>
      </c>
      <c r="B29" s="1090" t="s">
        <v>767</v>
      </c>
      <c r="C29" s="1091">
        <f ca="1">ROUND((C19+C20+C23+C26)/(1-F21-C24-C27-C28),0)</f>
        <v>3483</v>
      </c>
      <c r="D29" s="1092"/>
      <c r="E29" s="1090"/>
      <c r="F29" s="1093"/>
      <c r="G29" s="1393"/>
      <c r="H29" s="334" t="s">
        <v>396</v>
      </c>
      <c r="I29" s="335" t="s">
        <v>768</v>
      </c>
      <c r="J29" s="336">
        <f ca="1">ROUND(J26/(1+F40)^F41,0)</f>
        <v>0</v>
      </c>
      <c r="K29" s="337" t="s">
        <v>769</v>
      </c>
      <c r="L29" s="338"/>
      <c r="M29" s="339">
        <f ca="1">INDIRECT("'数据-取费表'!k"&amp;$G$1)</f>
        <v>8639.4699999999993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9" t="s">
        <v>393</v>
      </c>
      <c r="B30" s="1080" t="s">
        <v>714</v>
      </c>
      <c r="C30" s="310">
        <f ca="1">ROUND(C31+C36+C37+C38,0)</f>
        <v>71</v>
      </c>
      <c r="D30" s="1087" t="s">
        <v>715</v>
      </c>
      <c r="E30" s="3462"/>
      <c r="F30" s="1072"/>
      <c r="G30" s="1381"/>
      <c r="H30" s="2688"/>
      <c r="I30" s="1395"/>
      <c r="J30" s="1396"/>
      <c r="K30" s="2467"/>
      <c r="L30" s="2689"/>
      <c r="M30" s="2690"/>
    </row>
    <row r="31" spans="1:37" ht="18" customHeight="1">
      <c r="A31" s="982" t="s">
        <v>398</v>
      </c>
      <c r="B31" s="302" t="s">
        <v>719</v>
      </c>
      <c r="C31" s="2309">
        <f ca="1">ROUND(IF(AND(项目基本情况!B11="自然人",项目基本情况!B10="北京市"),C6*F31/(1+'数据-取费表'!C42),C32+C33+C34),2)</f>
        <v>38.28</v>
      </c>
      <c r="D31" s="3460" t="s">
        <v>720</v>
      </c>
      <c r="E31" s="3461" t="s">
        <v>770</v>
      </c>
      <c r="F31" s="2308" t="str">
        <f>IF(项目基本情况!B11="企业","——",IF(M47="住宅",IF(F6*F7*F8/12/(1+'数据-取费表'!F30)&gt;100000,4%,2.5%),IF(F6*F7*F8/12/(1+'数据-取费表'!F30)&gt;100000,12%,7%)))</f>
        <v>——</v>
      </c>
      <c r="G31" s="1381"/>
      <c r="H31" s="2799" t="s">
        <v>2302</v>
      </c>
      <c r="I31" s="1395"/>
      <c r="J31" s="1396"/>
      <c r="K31" s="2467"/>
      <c r="L31" s="2689"/>
      <c r="M31" s="2690"/>
    </row>
    <row r="32" spans="1:37" ht="18" customHeight="1">
      <c r="A32" s="982" t="s">
        <v>397</v>
      </c>
      <c r="B32" s="302" t="s">
        <v>723</v>
      </c>
      <c r="C32" s="21">
        <f ca="1">IF(项目基本情况!B11="自然人","——",ROUND(C6*F32/(1+'数据-取费表'!C42),2))</f>
        <v>11.89</v>
      </c>
      <c r="D32" s="3461" t="s">
        <v>724</v>
      </c>
      <c r="E32" s="302" t="s">
        <v>712</v>
      </c>
      <c r="F32" s="331">
        <f>'数据-取费表'!B41</f>
        <v>5.5000000000000007E-2</v>
      </c>
      <c r="G32" s="1381"/>
      <c r="H32" s="2688"/>
      <c r="I32" s="1395"/>
      <c r="J32" s="1396"/>
      <c r="K32" s="2467"/>
      <c r="L32" s="2689"/>
      <c r="M32" s="2690"/>
    </row>
    <row r="33" spans="1:18" ht="18" customHeight="1">
      <c r="A33" s="982" t="s">
        <v>399</v>
      </c>
      <c r="B33" s="302" t="s">
        <v>727</v>
      </c>
      <c r="C33" s="21">
        <f ca="1">IF(项目基本情况!B11="自然人","——",IF(D33="按租金收入计税",ROUND(C6*F33/(1+'数据-取费表'!C42),2),IF(D33="按房产原值计税",ROUND(C29*F33*0.7,2),INDIRECT("'数据-取费表'!Aj"&amp;$G$1))))</f>
        <v>25.94</v>
      </c>
      <c r="D33" s="1367" t="s">
        <v>3334</v>
      </c>
      <c r="E33" s="302" t="s">
        <v>712</v>
      </c>
      <c r="F33" s="322">
        <f>IF(D33="按票据","——",IF(D33="按租金收入计税",'数据-取费表'!B51,'数据-取费表'!B50))</f>
        <v>0.12</v>
      </c>
      <c r="G33" s="1381"/>
      <c r="H33" s="2691"/>
      <c r="I33" s="1395"/>
      <c r="J33" s="1396"/>
      <c r="K33" s="2692"/>
      <c r="L33" s="2691"/>
      <c r="M33" s="2691"/>
    </row>
    <row r="34" spans="1:18" ht="18" customHeight="1">
      <c r="A34" s="1069" t="s">
        <v>680</v>
      </c>
      <c r="B34" s="155" t="s">
        <v>730</v>
      </c>
      <c r="C34" s="22">
        <f ca="1">IF(项目基本情况!B11="自然人","——",ROUND(F34*F35/10000,2))</f>
        <v>0.45</v>
      </c>
      <c r="D34" s="324" t="s">
        <v>731</v>
      </c>
      <c r="E34" s="302" t="s">
        <v>732</v>
      </c>
      <c r="F34" s="325">
        <f>'数据-取费表'!B52</f>
        <v>1.5</v>
      </c>
      <c r="G34" s="1381"/>
      <c r="H34" s="2688"/>
      <c r="I34" s="1395"/>
      <c r="J34" s="1396"/>
      <c r="K34" s="2693"/>
      <c r="L34" s="2694"/>
      <c r="M34" s="2694"/>
    </row>
    <row r="35" spans="1:18" ht="18" customHeight="1">
      <c r="A35" s="1103"/>
      <c r="B35" s="1101"/>
      <c r="C35" s="26"/>
      <c r="D35" s="327"/>
      <c r="E35" s="302" t="s">
        <v>736</v>
      </c>
      <c r="F35" s="303">
        <f ca="1">INDIRECT("'数据-取费表'!r"&amp;$G$1)</f>
        <v>3016.09</v>
      </c>
      <c r="G35" s="1381"/>
      <c r="H35" s="2688"/>
      <c r="I35" s="1395"/>
      <c r="J35" s="1396"/>
      <c r="K35" s="2692"/>
      <c r="L35" s="2691"/>
      <c r="M35" s="2691"/>
    </row>
    <row r="36" spans="1:18" ht="18" customHeight="1">
      <c r="A36" s="1102" t="s">
        <v>402</v>
      </c>
      <c r="B36" s="302" t="s">
        <v>738</v>
      </c>
      <c r="C36" s="21">
        <f ca="1">ROUND(C29*F36,2)</f>
        <v>27.86</v>
      </c>
      <c r="D36" s="3461" t="s">
        <v>771</v>
      </c>
      <c r="E36" s="302" t="s">
        <v>712</v>
      </c>
      <c r="F36" s="328">
        <f ca="1">INDIRECT("'数据-取费表'!Ak"&amp;$G$1)</f>
        <v>8.0000000000000002E-3</v>
      </c>
      <c r="G36" s="1381"/>
      <c r="H36" s="2691"/>
      <c r="I36" s="1395"/>
      <c r="J36" s="1396"/>
      <c r="K36" s="2535"/>
      <c r="L36" s="2691"/>
      <c r="M36" s="2691"/>
    </row>
    <row r="37" spans="1:18" ht="18" customHeight="1">
      <c r="A37" s="982" t="s">
        <v>437</v>
      </c>
      <c r="B37" s="302" t="s">
        <v>742</v>
      </c>
      <c r="C37" s="21">
        <f ca="1">ROUND(C13*F37,2)</f>
        <v>3.48</v>
      </c>
      <c r="D37" s="3461" t="s">
        <v>743</v>
      </c>
      <c r="E37" s="302" t="s">
        <v>744</v>
      </c>
      <c r="F37" s="330">
        <f ca="1">INDIRECT("'数据-取费表'!Al"&amp;$G$1)</f>
        <v>1E-3</v>
      </c>
      <c r="G37" s="1381"/>
      <c r="H37" s="2691"/>
      <c r="I37" s="1395"/>
      <c r="J37" s="1396"/>
      <c r="K37" s="2535"/>
      <c r="L37" s="2691"/>
      <c r="M37" s="2691"/>
    </row>
    <row r="38" spans="1:18" ht="18" customHeight="1" thickBot="1">
      <c r="A38" s="1089" t="s">
        <v>683</v>
      </c>
      <c r="B38" s="1090" t="s">
        <v>728</v>
      </c>
      <c r="C38" s="1091">
        <f ca="1">ROUND(C5*F38,2)</f>
        <v>1.82</v>
      </c>
      <c r="D38" s="1092" t="s">
        <v>748</v>
      </c>
      <c r="E38" s="1090" t="s">
        <v>744</v>
      </c>
      <c r="F38" s="1086">
        <f ca="1">INDIRECT("'数据-取费表'!Am"&amp;$G$1)</f>
        <v>8.0000000000000002E-3</v>
      </c>
      <c r="G38" s="1381"/>
      <c r="H38" s="2691"/>
      <c r="I38" s="1395"/>
      <c r="J38" s="1396"/>
      <c r="K38" s="2695"/>
      <c r="L38" s="2691"/>
      <c r="M38" s="2691"/>
    </row>
    <row r="39" spans="1:18" ht="24.6" customHeight="1" thickTop="1">
      <c r="A39" s="1079" t="s">
        <v>394</v>
      </c>
      <c r="B39" s="1094" t="s">
        <v>772</v>
      </c>
      <c r="C39" s="310">
        <f ca="1">C5-C30</f>
        <v>156</v>
      </c>
      <c r="D39" s="1095" t="s">
        <v>773</v>
      </c>
      <c r="E39" s="1096"/>
      <c r="F39" s="1097"/>
      <c r="G39" s="1381"/>
      <c r="H39" s="2691"/>
      <c r="I39" s="1395"/>
      <c r="J39" s="1396"/>
      <c r="K39" s="2695"/>
      <c r="L39" s="2691"/>
      <c r="M39" s="2691"/>
    </row>
    <row r="40" spans="1:18" ht="18" customHeight="1">
      <c r="A40" s="299" t="s">
        <v>395</v>
      </c>
      <c r="B40" s="300" t="s">
        <v>774</v>
      </c>
      <c r="C40" s="301">
        <f ca="1">ROUND(C39*(1-((1+F42)/(1+F40))^F41)/(F40-F42),0)</f>
        <v>3770</v>
      </c>
      <c r="D40" s="324" t="s">
        <v>758</v>
      </c>
      <c r="E40" s="302" t="s">
        <v>759</v>
      </c>
      <c r="F40" s="312">
        <f ca="1">INDIRECT("'数据-取费表'!I"&amp;$G$1)</f>
        <v>0.05</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44.54</v>
      </c>
      <c r="G41" s="1381"/>
      <c r="H41" s="1188">
        <f ca="1">C40/F7*10000</f>
        <v>4363.6936062050108</v>
      </c>
      <c r="I41" s="1395"/>
      <c r="J41" s="1396"/>
      <c r="K41" s="2535"/>
      <c r="L41" s="1188"/>
      <c r="M41" s="1188"/>
    </row>
    <row r="42" spans="1:18" ht="18" customHeight="1">
      <c r="A42" s="308"/>
      <c r="B42" s="309"/>
      <c r="C42" s="310"/>
      <c r="D42" s="327"/>
      <c r="E42" s="302" t="s">
        <v>766</v>
      </c>
      <c r="F42" s="312">
        <f ca="1">INDIRECT("'数据-取费表'!v"&amp;$G$1)</f>
        <v>0.02</v>
      </c>
      <c r="G42" s="1381"/>
      <c r="H42" s="1188"/>
      <c r="I42" s="1395"/>
      <c r="J42" s="1396"/>
      <c r="K42" s="2535"/>
      <c r="L42" s="1188"/>
      <c r="M42" s="1188"/>
    </row>
    <row r="43" spans="1:18" ht="18" customHeight="1" thickBot="1">
      <c r="A43" s="334" t="s">
        <v>396</v>
      </c>
      <c r="B43" s="335" t="s">
        <v>776</v>
      </c>
      <c r="C43" s="336">
        <f ca="1">ROUND(C40*10000/F43,0)</f>
        <v>4364</v>
      </c>
      <c r="D43" s="337" t="s">
        <v>777</v>
      </c>
      <c r="E43" s="338" t="s">
        <v>778</v>
      </c>
      <c r="F43" s="339">
        <f ca="1">INDIRECT("'数据-取费表'!k"&amp;$G$1)</f>
        <v>8639.4699999999993</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6" t="s">
        <v>808</v>
      </c>
      <c r="P45" s="1458"/>
      <c r="Q45" s="1458"/>
      <c r="R45" s="1458"/>
    </row>
    <row r="46" spans="1:18" s="1381" customFormat="1" ht="13.5" thickBot="1">
      <c r="A46" s="1401" t="s">
        <v>809</v>
      </c>
      <c r="C46" s="1402">
        <f ca="1">C68-C40</f>
        <v>-4319</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6" t="s">
        <v>687</v>
      </c>
      <c r="B47" s="978" t="s">
        <v>688</v>
      </c>
      <c r="C47" s="1117" t="s">
        <v>689</v>
      </c>
      <c r="D47" s="978" t="s">
        <v>690</v>
      </c>
      <c r="E47" s="1058" t="s">
        <v>691</v>
      </c>
      <c r="F47" s="1059"/>
      <c r="G47" s="722"/>
      <c r="I47" s="1411" t="s">
        <v>815</v>
      </c>
      <c r="J47" s="1412" t="s">
        <v>3388</v>
      </c>
      <c r="K47" s="1413" t="s">
        <v>816</v>
      </c>
      <c r="L47" s="1414">
        <f ca="1">INDIRECT("'数据-取费表'!d"&amp;$G$1)</f>
        <v>50</v>
      </c>
      <c r="M47" s="1377" t="str">
        <f>IF(ISNUMBER(FIND("住宅",C1)),"住宅","非住宅")</f>
        <v>非住宅</v>
      </c>
      <c r="O47" s="1415" t="s">
        <v>403</v>
      </c>
      <c r="P47" s="1416" t="s">
        <v>817</v>
      </c>
      <c r="Q47" s="1417">
        <f ca="1">C40+J29</f>
        <v>3770</v>
      </c>
      <c r="R47" s="1417" t="s">
        <v>818</v>
      </c>
    </row>
    <row r="48" spans="1:18" s="1381" customFormat="1" ht="28.5" thickBot="1">
      <c r="A48" s="1110" t="s">
        <v>438</v>
      </c>
      <c r="B48" s="300" t="s">
        <v>692</v>
      </c>
      <c r="C48" s="3463">
        <f ca="1">C49+C53+C55</f>
        <v>0</v>
      </c>
      <c r="D48" s="1112"/>
      <c r="E48" s="1113"/>
      <c r="F48" s="962"/>
      <c r="G48" s="722"/>
      <c r="H48" s="723"/>
      <c r="I48" s="1418" t="s">
        <v>819</v>
      </c>
      <c r="J48" s="1419" t="s">
        <v>3389</v>
      </c>
      <c r="K48" s="1420" t="s">
        <v>820</v>
      </c>
      <c r="L48" s="1421">
        <f ca="1">INDIRECT("'数据-取费表'!f"&amp;$G$1)</f>
        <v>44.54</v>
      </c>
      <c r="O48" s="1415" t="s">
        <v>404</v>
      </c>
      <c r="P48" s="1416" t="s">
        <v>821</v>
      </c>
      <c r="Q48" s="1417" t="str">
        <f ca="1">J60</f>
        <v>0</v>
      </c>
      <c r="R48" s="1417" t="s">
        <v>822</v>
      </c>
    </row>
    <row r="49" spans="1:18" s="1381" customFormat="1" ht="13.5" thickBot="1">
      <c r="A49" s="975" t="s">
        <v>439</v>
      </c>
      <c r="B49" s="1368" t="s">
        <v>779</v>
      </c>
      <c r="C49" s="1114">
        <f ca="1">ROUND(F49*F51*F50*(1-F52)/10000,0)</f>
        <v>0</v>
      </c>
      <c r="D49" s="1055" t="s">
        <v>2104</v>
      </c>
      <c r="E49" s="1369" t="s">
        <v>780</v>
      </c>
      <c r="F49" s="1060"/>
      <c r="G49" s="1422"/>
      <c r="H49" s="723"/>
      <c r="I49" s="1418" t="s">
        <v>823</v>
      </c>
      <c r="J49" s="1423">
        <v>2020</v>
      </c>
      <c r="K49" s="1420" t="s">
        <v>824</v>
      </c>
      <c r="L49" s="1424"/>
      <c r="O49" s="1425" t="s">
        <v>405</v>
      </c>
      <c r="P49" s="1416" t="s">
        <v>825</v>
      </c>
      <c r="Q49" s="1417">
        <f ca="1">C29</f>
        <v>3483</v>
      </c>
      <c r="R49" s="1417" t="s">
        <v>818</v>
      </c>
    </row>
    <row r="50" spans="1:18" s="1381" customFormat="1" ht="13.5" thickBot="1">
      <c r="A50" s="976"/>
      <c r="B50" s="979"/>
      <c r="C50" s="1118"/>
      <c r="D50" s="953"/>
      <c r="E50" s="1056" t="s">
        <v>697</v>
      </c>
      <c r="F50" s="1057">
        <f ca="1">F7</f>
        <v>8639.4699999999993</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7"/>
      <c r="B51" s="979"/>
      <c r="C51" s="980"/>
      <c r="D51" s="953"/>
      <c r="E51" s="981" t="s">
        <v>698</v>
      </c>
      <c r="F51" s="303">
        <f ca="1">F8</f>
        <v>365</v>
      </c>
      <c r="I51" s="1429" t="s">
        <v>829</v>
      </c>
      <c r="J51" s="1430">
        <f>IF(J49="",J50,J49+J50-YEAR('数据-取费表'!B2))</f>
        <v>57</v>
      </c>
      <c r="K51" s="1431" t="s">
        <v>830</v>
      </c>
      <c r="L51" s="1432">
        <f ca="1">ROUND(-PV(INDIRECT("'数据-取费表'!h"&amp;$G$1),J51,(C39-C13*C76),0),0)</f>
        <v>-1793</v>
      </c>
      <c r="M51" s="1433"/>
      <c r="O51" s="1425" t="s">
        <v>407</v>
      </c>
      <c r="P51" s="1416" t="s">
        <v>831</v>
      </c>
      <c r="Q51" s="1428">
        <f>J52</f>
        <v>7.4999999999999997E-2</v>
      </c>
      <c r="R51" s="1417"/>
    </row>
    <row r="52" spans="1:18" s="1381" customFormat="1" ht="13.5" thickBot="1">
      <c r="A52" s="977"/>
      <c r="B52" s="979"/>
      <c r="C52" s="980"/>
      <c r="D52" s="953"/>
      <c r="E52" s="981" t="s">
        <v>699</v>
      </c>
      <c r="F52" s="1054"/>
      <c r="I52" s="1434" t="s">
        <v>832</v>
      </c>
      <c r="J52" s="1435">
        <v>7.4999999999999997E-2</v>
      </c>
      <c r="K52" s="1434" t="s">
        <v>833</v>
      </c>
      <c r="L52" s="1435"/>
      <c r="O52" s="1425" t="s">
        <v>408</v>
      </c>
      <c r="P52" s="1416" t="s">
        <v>834</v>
      </c>
      <c r="Q52" s="1417">
        <f ca="1">J53</f>
        <v>44.54</v>
      </c>
      <c r="R52" s="1417" t="s">
        <v>835</v>
      </c>
    </row>
    <row r="53" spans="1:18" s="1381" customFormat="1" ht="24.75" thickBot="1">
      <c r="A53" s="1152" t="s">
        <v>440</v>
      </c>
      <c r="B53" s="1370" t="s">
        <v>700</v>
      </c>
      <c r="C53" s="316">
        <f ca="1">ROUND(IF(F53="押一",C49/12*F11,IF(F53="押二",C49/12*2*F11,IF(F53="押三",C49/12*3*F11,C54*F11))),0)</f>
        <v>0</v>
      </c>
      <c r="D53" s="1363" t="s">
        <v>2112</v>
      </c>
      <c r="E53" s="313" t="s">
        <v>701</v>
      </c>
      <c r="F53" s="1116"/>
      <c r="I53" s="1436" t="s">
        <v>836</v>
      </c>
      <c r="J53" s="2161">
        <f ca="1">IF(M47="住宅",IF(D1="——",MAX(J51,L48),MAX(J51,L48-'数据-取费表'!B24)),IF(D1="——",MIN(J51,L48),MIN(J51,L48-'数据-取费表'!B24)))</f>
        <v>44.54</v>
      </c>
      <c r="K53" s="3768" t="s">
        <v>837</v>
      </c>
      <c r="L53" s="3769"/>
      <c r="O53" s="1415" t="s">
        <v>409</v>
      </c>
      <c r="P53" s="1416" t="s">
        <v>838</v>
      </c>
      <c r="Q53" s="1417">
        <f ca="1">Q47+Q48</f>
        <v>3770</v>
      </c>
      <c r="R53" s="1417" t="s">
        <v>410</v>
      </c>
    </row>
    <row r="54" spans="1:18" s="1381" customFormat="1" ht="13.5" thickBot="1">
      <c r="A54" s="1153"/>
      <c r="B54" s="1364" t="s">
        <v>679</v>
      </c>
      <c r="C54" s="959"/>
      <c r="D54" s="1363"/>
      <c r="E54" s="3458"/>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3" t="s">
        <v>437</v>
      </c>
      <c r="B55" s="1366" t="s">
        <v>703</v>
      </c>
      <c r="C55" s="1084"/>
      <c r="D55" s="1363"/>
      <c r="E55" s="3458"/>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7">
        <v>2</v>
      </c>
      <c r="B56" s="958" t="s">
        <v>704</v>
      </c>
      <c r="C56" s="232">
        <f ca="1">C13</f>
        <v>3483</v>
      </c>
      <c r="D56" s="1444"/>
      <c r="E56" s="1445"/>
      <c r="F56" s="1437"/>
      <c r="I56" s="1446" t="s">
        <v>842</v>
      </c>
      <c r="J56" s="1447" t="s">
        <v>3383</v>
      </c>
      <c r="K56" s="1418" t="s">
        <v>843</v>
      </c>
      <c r="L56" s="1421" t="str">
        <f ca="1">IF(L48&lt;J51,"——",L48-J53)</f>
        <v>——</v>
      </c>
      <c r="O56" s="1415" t="s">
        <v>403</v>
      </c>
      <c r="P56" s="1416" t="s">
        <v>817</v>
      </c>
      <c r="Q56" s="1417">
        <f ca="1">C40+J29</f>
        <v>3770</v>
      </c>
      <c r="R56" s="1417" t="s">
        <v>818</v>
      </c>
    </row>
    <row r="57" spans="1:18" s="1381" customFormat="1" ht="24.75" thickBot="1">
      <c r="A57" s="1448"/>
      <c r="B57" s="950" t="s">
        <v>767</v>
      </c>
      <c r="C57" s="238">
        <f ca="1">C29</f>
        <v>3483</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8" t="s">
        <v>714</v>
      </c>
      <c r="C58" s="316">
        <f ca="1">ROUND(C59+C64+C65+C66,0)</f>
        <v>31</v>
      </c>
      <c r="D58" s="960" t="s">
        <v>715</v>
      </c>
      <c r="E58" s="961"/>
      <c r="F58" s="962"/>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09">
        <f ca="1">ROUND(IF(AND(项目基本情况!B11="自然人",项目基本情况!B10="北京市"),C49*F59/(1+'数据-取费表'!C42),C60+C61+C62),0)</f>
        <v>0</v>
      </c>
      <c r="D59" s="963" t="s">
        <v>720</v>
      </c>
      <c r="E59" s="964" t="s">
        <v>721</v>
      </c>
      <c r="F59" s="2308"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IF(项目基本情况!B11="自然人","——",IF(D61="按租金收入计税",ROUND(C49*F61/(1+'数据-取费表'!C42),2),IF(D61="按房产原值计税",ROUND(C57*F61*0.7,2),INDIRECT("'数据-取费表'!Aj"&amp;$G$1))))</f>
        <v>0</v>
      </c>
      <c r="D61" s="1367" t="s">
        <v>3334</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IF(项目基本情况!B11="自然人","——",ROUND(F62*F63/10000,2))</f>
        <v>0.45</v>
      </c>
      <c r="D62" s="965" t="s">
        <v>786</v>
      </c>
      <c r="E62" s="950" t="s">
        <v>787</v>
      </c>
      <c r="F62" s="325">
        <f t="shared" si="0"/>
        <v>1.5</v>
      </c>
      <c r="I62" s="1459" t="s">
        <v>858</v>
      </c>
      <c r="J62" s="1460" t="s">
        <v>859</v>
      </c>
      <c r="K62" s="1460" t="s">
        <v>860</v>
      </c>
      <c r="L62" s="1460" t="s">
        <v>861</v>
      </c>
      <c r="M62" s="1461" t="s">
        <v>862</v>
      </c>
      <c r="O62" s="1415" t="s">
        <v>409</v>
      </c>
      <c r="P62" s="1416" t="s">
        <v>863</v>
      </c>
      <c r="Q62" s="1417">
        <f ca="1">Q56+Q57</f>
        <v>3770</v>
      </c>
      <c r="R62" s="1417" t="s">
        <v>410</v>
      </c>
    </row>
    <row r="63" spans="1:18" s="1381" customFormat="1" ht="13.5" thickBot="1">
      <c r="A63" s="326"/>
      <c r="B63" s="956"/>
      <c r="C63" s="26"/>
      <c r="D63" s="966"/>
      <c r="E63" s="950" t="s">
        <v>788</v>
      </c>
      <c r="F63" s="303">
        <f t="shared" ca="1" si="0"/>
        <v>3016.09</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ROUND(C57*F64,2)</f>
        <v>27.86</v>
      </c>
      <c r="D64" s="964" t="s">
        <v>791</v>
      </c>
      <c r="E64" s="950" t="s">
        <v>783</v>
      </c>
      <c r="F64" s="328">
        <f t="shared" ca="1" si="0"/>
        <v>8.0000000000000002E-3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ROUND(C56*F65,2)</f>
        <v>3.48</v>
      </c>
      <c r="D65" s="964" t="s">
        <v>743</v>
      </c>
      <c r="E65" s="950" t="s">
        <v>744</v>
      </c>
      <c r="F65" s="330">
        <f t="shared" ca="1" si="0"/>
        <v>1E-3</v>
      </c>
      <c r="I65" s="1459" t="s">
        <v>867</v>
      </c>
      <c r="J65" s="1460">
        <v>40</v>
      </c>
      <c r="K65" s="1460">
        <v>30</v>
      </c>
      <c r="L65" s="1460">
        <v>50</v>
      </c>
      <c r="M65" s="1462">
        <v>0.02</v>
      </c>
      <c r="O65" s="1415" t="s">
        <v>403</v>
      </c>
      <c r="P65" s="1416" t="s">
        <v>868</v>
      </c>
      <c r="Q65" s="1417">
        <f ca="1">C40+J29</f>
        <v>3770</v>
      </c>
      <c r="R65" s="1417" t="s">
        <v>818</v>
      </c>
    </row>
    <row r="66" spans="1:18" s="1381" customFormat="1" ht="16.5" thickBot="1">
      <c r="A66" s="982" t="s">
        <v>793</v>
      </c>
      <c r="B66" s="950" t="s">
        <v>728</v>
      </c>
      <c r="C66" s="21">
        <f ca="1">ROUND(C48*F66,2)</f>
        <v>0</v>
      </c>
      <c r="D66" s="964" t="s">
        <v>794</v>
      </c>
      <c r="E66" s="950" t="s">
        <v>712</v>
      </c>
      <c r="F66" s="312">
        <f t="shared" ca="1" si="0"/>
        <v>8.0000000000000002E-3</v>
      </c>
      <c r="O66" s="1415" t="s">
        <v>404</v>
      </c>
      <c r="P66" s="1416" t="s">
        <v>846</v>
      </c>
      <c r="Q66" s="1417">
        <f ca="1">L60</f>
        <v>0</v>
      </c>
      <c r="R66" s="1417" t="s">
        <v>869</v>
      </c>
    </row>
    <row r="67" spans="1:18" s="1381" customFormat="1" ht="16.5" thickBot="1">
      <c r="A67" s="957" t="s">
        <v>394</v>
      </c>
      <c r="B67" s="967" t="s">
        <v>752</v>
      </c>
      <c r="C67" s="316">
        <f ca="1">C48-C58</f>
        <v>-31</v>
      </c>
      <c r="D67" s="963" t="s">
        <v>753</v>
      </c>
      <c r="E67" s="968"/>
      <c r="F67" s="969"/>
      <c r="O67" s="1425" t="s">
        <v>405</v>
      </c>
      <c r="P67" s="1416" t="s">
        <v>850</v>
      </c>
      <c r="Q67" s="1463">
        <f ca="1">L51</f>
        <v>-1793</v>
      </c>
      <c r="R67" s="1417" t="s">
        <v>870</v>
      </c>
    </row>
    <row r="68" spans="1:18" s="1381" customFormat="1" ht="16.5" thickBot="1">
      <c r="A68" s="947" t="s">
        <v>395</v>
      </c>
      <c r="B68" s="948" t="s">
        <v>774</v>
      </c>
      <c r="C68" s="301">
        <f ca="1">ROUND(C67*(1-((1+F70)/(1+F68))^F69)/(F68-F70),0)</f>
        <v>-549</v>
      </c>
      <c r="D68" s="965" t="s">
        <v>758</v>
      </c>
      <c r="E68" s="950" t="s">
        <v>759</v>
      </c>
      <c r="F68" s="312">
        <f ca="1">F40</f>
        <v>0.05</v>
      </c>
      <c r="O68" s="1425" t="s">
        <v>406</v>
      </c>
      <c r="P68" s="1464" t="s">
        <v>871</v>
      </c>
      <c r="Q68" s="1417">
        <f ca="1">ROUND(Q69-Q70*Q71,0)</f>
        <v>-88</v>
      </c>
      <c r="R68" s="1417" t="s">
        <v>414</v>
      </c>
    </row>
    <row r="69" spans="1:18" s="1381" customFormat="1" ht="13.5" thickBot="1">
      <c r="A69" s="951"/>
      <c r="B69" s="952"/>
      <c r="C69" s="306"/>
      <c r="D69" s="970" t="s">
        <v>762</v>
      </c>
      <c r="E69" s="950" t="s">
        <v>763</v>
      </c>
      <c r="F69" s="333">
        <f ca="1">F41</f>
        <v>44.54</v>
      </c>
      <c r="O69" s="1425" t="s">
        <v>411</v>
      </c>
      <c r="P69" s="1464" t="s">
        <v>872</v>
      </c>
      <c r="Q69" s="1417">
        <f ca="1">C39</f>
        <v>156</v>
      </c>
      <c r="R69" s="1417" t="s">
        <v>818</v>
      </c>
    </row>
    <row r="70" spans="1:18" s="1381" customFormat="1" ht="13.5" thickBot="1">
      <c r="A70" s="954"/>
      <c r="B70" s="955"/>
      <c r="C70" s="310"/>
      <c r="D70" s="966"/>
      <c r="E70" s="950" t="s">
        <v>766</v>
      </c>
      <c r="F70" s="1054"/>
      <c r="O70" s="1425" t="s">
        <v>412</v>
      </c>
      <c r="P70" s="1464" t="s">
        <v>873</v>
      </c>
      <c r="Q70" s="1417">
        <f ca="1">C13</f>
        <v>3483</v>
      </c>
      <c r="R70" s="1417" t="s">
        <v>818</v>
      </c>
    </row>
    <row r="71" spans="1:18" s="1381" customFormat="1" ht="13.5" thickBot="1">
      <c r="A71" s="971" t="s">
        <v>396</v>
      </c>
      <c r="B71" s="972" t="s">
        <v>776</v>
      </c>
      <c r="C71" s="336">
        <f ca="1">ROUND(C68*10000/F71,0)</f>
        <v>-635</v>
      </c>
      <c r="D71" s="973" t="s">
        <v>777</v>
      </c>
      <c r="E71" s="974" t="s">
        <v>778</v>
      </c>
      <c r="F71" s="339">
        <f ca="1">F43</f>
        <v>8639.4699999999993</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244</v>
      </c>
      <c r="D75" s="1381"/>
      <c r="E75" s="1381"/>
      <c r="F75" s="1381"/>
      <c r="K75" s="1399"/>
      <c r="L75" s="1381"/>
      <c r="O75" s="1415" t="s">
        <v>409</v>
      </c>
      <c r="P75" s="1416" t="s">
        <v>838</v>
      </c>
      <c r="Q75" s="1417">
        <f ca="1">Q65+Q66</f>
        <v>3770</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-0.56400000000000006</v>
      </c>
    </row>
    <row r="80" spans="1:18">
      <c r="B80" s="340" t="s">
        <v>800</v>
      </c>
      <c r="C80" s="274">
        <f ca="1">ROUND(C75/C39,3)</f>
        <v>1.5640000000000001</v>
      </c>
    </row>
    <row r="81" spans="2:3">
      <c r="B81" s="270" t="s">
        <v>801</v>
      </c>
      <c r="C81" s="238"/>
    </row>
    <row r="82" spans="2:3">
      <c r="B82" s="273" t="s">
        <v>802</v>
      </c>
      <c r="C82" s="275">
        <f ca="1">1-C83</f>
        <v>7.5999999999999956E-2</v>
      </c>
    </row>
    <row r="83" spans="2:3">
      <c r="B83" s="273" t="s">
        <v>803</v>
      </c>
      <c r="C83" s="274">
        <f ca="1">ROUND(C13/C40,3)</f>
        <v>0.92400000000000004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2">
        <f ca="1">J53</f>
        <v>0</v>
      </c>
      <c r="G1" s="1375">
        <f>MATCH(C1,'数据-取费表'!A6:A16,0)+5</f>
        <v>9</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70">
        <f ca="1">C6+C10+C12</f>
        <v>0</v>
      </c>
      <c r="D5" s="1361" t="s">
        <v>889</v>
      </c>
      <c r="E5" s="1071"/>
      <c r="F5" s="1072"/>
      <c r="G5" s="1381"/>
      <c r="H5" s="299">
        <v>1</v>
      </c>
      <c r="I5" s="300" t="s">
        <v>888</v>
      </c>
      <c r="J5" s="1070">
        <f ca="1">J6+J10+J12</f>
        <v>0</v>
      </c>
      <c r="K5" s="1361" t="s">
        <v>889</v>
      </c>
      <c r="L5" s="1071"/>
      <c r="M5" s="1072"/>
    </row>
    <row r="6" spans="1:37" ht="18" customHeight="1">
      <c r="A6" s="1069" t="s">
        <v>398</v>
      </c>
      <c r="B6" s="3770" t="s">
        <v>694</v>
      </c>
      <c r="C6" s="1074">
        <f ca="1">ROUND(F6*F8*F7*(1-F9),0)</f>
        <v>0</v>
      </c>
      <c r="D6" s="155" t="s">
        <v>2102</v>
      </c>
      <c r="E6" s="302" t="s">
        <v>696</v>
      </c>
      <c r="F6" s="303">
        <f ca="1">INDIRECT("'数据-取费表'!u"&amp;$G$1)</f>
        <v>0</v>
      </c>
      <c r="G6" s="1381"/>
      <c r="H6" s="1069" t="s">
        <v>398</v>
      </c>
      <c r="I6" s="3770" t="s">
        <v>694</v>
      </c>
      <c r="J6" s="301">
        <f ca="1">ROUND(M6*M8*M7*(1-M9),0)</f>
        <v>0</v>
      </c>
      <c r="K6" s="1373" t="s">
        <v>2103</v>
      </c>
      <c r="L6" s="302" t="s">
        <v>696</v>
      </c>
      <c r="M6" s="303">
        <f ca="1">INDIRECT("'数据-取费表'!z"&amp;$G$1)</f>
        <v>0</v>
      </c>
    </row>
    <row r="7" spans="1:37" ht="18" customHeight="1">
      <c r="A7" s="1073"/>
      <c r="B7" s="3771"/>
      <c r="C7" s="1075"/>
      <c r="D7" s="307"/>
      <c r="E7" s="1076" t="s">
        <v>697</v>
      </c>
      <c r="F7" s="303">
        <f ca="1">IF(INDIRECT("'数据-取费表'!ah"&amp;$G$1)="",INDIRECT("'数据-取费表'!k"&amp;$G$1),INDIRECT("'数据-取费表'!ah"&amp;$G$1))</f>
        <v>0</v>
      </c>
      <c r="G7" s="1381"/>
      <c r="H7" s="304"/>
      <c r="I7" s="3771"/>
      <c r="J7" s="306"/>
      <c r="K7" s="307"/>
      <c r="L7" s="302" t="s">
        <v>697</v>
      </c>
      <c r="M7" s="303">
        <f ca="1">F7</f>
        <v>0</v>
      </c>
    </row>
    <row r="8" spans="1:37" ht="18" customHeight="1">
      <c r="A8" s="304"/>
      <c r="B8" s="3771"/>
      <c r="C8" s="306"/>
      <c r="D8" s="307"/>
      <c r="E8" s="302" t="s">
        <v>698</v>
      </c>
      <c r="F8" s="303">
        <f ca="1">INDIRECT("'数据-取费表'!ai"&amp;$G$1)</f>
        <v>0</v>
      </c>
      <c r="G8" s="1381"/>
      <c r="H8" s="304"/>
      <c r="I8" s="3771"/>
      <c r="J8" s="306"/>
      <c r="K8" s="307"/>
      <c r="L8" s="302" t="s">
        <v>698</v>
      </c>
      <c r="M8" s="303">
        <f ca="1">INDIRECT("'数据-取费表'!ai"&amp;$G$1)</f>
        <v>0</v>
      </c>
    </row>
    <row r="9" spans="1:37" ht="18" customHeight="1">
      <c r="A9" s="304"/>
      <c r="B9" s="3772"/>
      <c r="C9" s="306"/>
      <c r="D9" s="307"/>
      <c r="E9" s="302" t="s">
        <v>699</v>
      </c>
      <c r="F9" s="312">
        <f ca="1">INDIRECT("'数据-取费表'!w"&amp;$G$1)</f>
        <v>0</v>
      </c>
      <c r="G9" s="1381"/>
      <c r="H9" s="304"/>
      <c r="I9" s="3772"/>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2112</v>
      </c>
      <c r="E10" s="313" t="s">
        <v>701</v>
      </c>
      <c r="F10" s="1116"/>
      <c r="G10" s="1381"/>
      <c r="H10" s="1069" t="s">
        <v>402</v>
      </c>
      <c r="I10" s="1362" t="s">
        <v>700</v>
      </c>
      <c r="J10" s="301">
        <f ca="1">ROUND(IF(M10="押一",J6/12*M11,IF(M10="押二",J6/12*2*M11,IF(M10="押三",J6/12*3*M11,J11*M11))),0)</f>
        <v>0</v>
      </c>
      <c r="K10" s="1374" t="s">
        <v>2114</v>
      </c>
      <c r="L10" s="313" t="s">
        <v>701</v>
      </c>
      <c r="M10" s="1116"/>
    </row>
    <row r="11" spans="1:37" ht="18" customHeight="1">
      <c r="A11" s="308"/>
      <c r="B11" s="1364" t="s">
        <v>890</v>
      </c>
      <c r="C11" s="959"/>
      <c r="D11" s="307"/>
      <c r="E11" s="313" t="s">
        <v>702</v>
      </c>
      <c r="F11" s="314">
        <f ca="1">'数据-取费表'!B39</f>
        <v>1.4999999999999999E-2</v>
      </c>
      <c r="G11" s="1381"/>
      <c r="H11" s="1077"/>
      <c r="I11" s="1364" t="s">
        <v>891</v>
      </c>
      <c r="J11" s="959"/>
      <c r="K11" s="684"/>
      <c r="L11" s="313" t="s">
        <v>702</v>
      </c>
      <c r="M11" s="862">
        <f ca="1">'数据-取费表'!B39</f>
        <v>1.4999999999999999E-2</v>
      </c>
    </row>
    <row r="12" spans="1:37" ht="18" customHeight="1" thickBot="1">
      <c r="A12" s="1083" t="s">
        <v>437</v>
      </c>
      <c r="B12" s="1366" t="s">
        <v>703</v>
      </c>
      <c r="C12" s="1084"/>
      <c r="D12" s="1085"/>
      <c r="E12" s="1090"/>
      <c r="F12" s="1086"/>
      <c r="G12" s="1381"/>
      <c r="H12" s="1083" t="s">
        <v>437</v>
      </c>
      <c r="I12" s="1366"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1"/>
      <c r="H13" s="1079">
        <v>2</v>
      </c>
      <c r="I13" s="1080" t="s">
        <v>704</v>
      </c>
      <c r="J13" s="1068">
        <f ca="1">ROUND(J14*J15,0)</f>
        <v>0</v>
      </c>
      <c r="K13" s="1087" t="s">
        <v>705</v>
      </c>
      <c r="L13" s="1389"/>
      <c r="M13" s="1390"/>
    </row>
    <row r="14" spans="1:37" ht="18" customHeight="1">
      <c r="A14" s="982" t="s">
        <v>397</v>
      </c>
      <c r="B14" s="302" t="s">
        <v>707</v>
      </c>
      <c r="C14" s="318">
        <f ca="1">ROUND(INDIRECT("'数据-取费表'!l"&amp;$G$1)*F43+'数据-取费表'!L14*INDIRECT("'数据-取费表'!S"&amp;$G$1),0)</f>
        <v>0</v>
      </c>
      <c r="D14" s="1342" t="s">
        <v>708</v>
      </c>
      <c r="E14" s="1339"/>
      <c r="F14" s="319"/>
      <c r="G14" s="1381"/>
      <c r="H14" s="982" t="s">
        <v>398</v>
      </c>
      <c r="I14" s="302" t="s">
        <v>709</v>
      </c>
      <c r="J14" s="21">
        <f ca="1">C29</f>
        <v>0</v>
      </c>
      <c r="K14" s="12"/>
      <c r="L14" s="807"/>
      <c r="M14" s="808"/>
    </row>
    <row r="15" spans="1:37" s="1394" customFormat="1" ht="18" customHeight="1" thickBot="1">
      <c r="A15" s="982" t="s">
        <v>399</v>
      </c>
      <c r="B15" s="302" t="s">
        <v>710</v>
      </c>
      <c r="C15" s="21">
        <f ca="1">ROUND(C14*F15,0)</f>
        <v>0</v>
      </c>
      <c r="D15" s="320" t="s">
        <v>711</v>
      </c>
      <c r="E15" s="320" t="s">
        <v>712</v>
      </c>
      <c r="F15" s="321">
        <f>'数据-取费表'!B33</f>
        <v>0.03</v>
      </c>
      <c r="G15" s="1393"/>
      <c r="H15" s="1089" t="s">
        <v>402</v>
      </c>
      <c r="I15" s="1090" t="s">
        <v>706</v>
      </c>
      <c r="J15" s="1099">
        <f ca="1">INDIRECT("'数据-取费表'!ad"&amp;$G$1)</f>
        <v>0</v>
      </c>
      <c r="K15" s="1100"/>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1"/>
      <c r="H16" s="1079" t="s">
        <v>393</v>
      </c>
      <c r="I16" s="1080" t="s">
        <v>714</v>
      </c>
      <c r="J16" s="310">
        <f ca="1">ROUND(J17+J22+J23+J24,0)</f>
        <v>0</v>
      </c>
      <c r="K16" s="1087" t="s">
        <v>715</v>
      </c>
      <c r="L16" s="1088"/>
      <c r="M16" s="1072"/>
    </row>
    <row r="17" spans="1:37" s="1394" customFormat="1" ht="18" customHeight="1">
      <c r="A17" s="982" t="s">
        <v>681</v>
      </c>
      <c r="B17" s="302" t="s">
        <v>716</v>
      </c>
      <c r="C17" s="21">
        <f ca="1">ROUND(F17*(F43+INDIRECT("'数据-取费表'!S"&amp;$G$1)),0)</f>
        <v>0</v>
      </c>
      <c r="D17" s="302" t="s">
        <v>717</v>
      </c>
      <c r="E17" s="302" t="s">
        <v>718</v>
      </c>
      <c r="F17" s="23">
        <f>'数据-取费表'!B35</f>
        <v>200</v>
      </c>
      <c r="G17" s="1393"/>
      <c r="H17" s="982" t="s">
        <v>398</v>
      </c>
      <c r="I17" s="302" t="s">
        <v>719</v>
      </c>
      <c r="J17" s="2309">
        <f ca="1">ROUND(IF(AND(项目基本情况!B11="自然人",项目基本情况!B10="北京市"),J6*M17/(1+'数据-取费表'!C42),J18+J19+J20),0)</f>
        <v>0</v>
      </c>
      <c r="K17" s="1342" t="s">
        <v>720</v>
      </c>
      <c r="L17" s="1341" t="s">
        <v>721</v>
      </c>
      <c r="M17" s="2308"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0</v>
      </c>
      <c r="D18" s="302" t="s">
        <v>711</v>
      </c>
      <c r="E18" s="302" t="s">
        <v>712</v>
      </c>
      <c r="F18" s="322">
        <f>'数据-取费表'!B36</f>
        <v>1.4999999999999999E-2</v>
      </c>
      <c r="G18" s="1393"/>
      <c r="H18" s="982"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0</v>
      </c>
      <c r="D19" s="131" t="s">
        <v>726</v>
      </c>
      <c r="E19" s="1357"/>
      <c r="F19" s="23"/>
      <c r="G19" s="1381"/>
      <c r="H19" s="982" t="s">
        <v>399</v>
      </c>
      <c r="I19" s="302" t="s">
        <v>727</v>
      </c>
      <c r="J19" s="21">
        <f ca="1">IF(K19="按租金收入计税",ROUND(J6*M19/(1+'数据-取费表'!C42),0),ROUND(C29*M19*0.7,0))</f>
        <v>0</v>
      </c>
      <c r="K19" s="1367" t="s">
        <v>3334</v>
      </c>
      <c r="L19" s="302" t="s">
        <v>712</v>
      </c>
      <c r="M19" s="322">
        <f>IF(K19="按租金收入计税",'数据-取费表'!B51,'数据-取费表'!B50)</f>
        <v>0.12</v>
      </c>
    </row>
    <row r="20" spans="1:37" s="1394" customFormat="1" ht="18" customHeight="1">
      <c r="A20" s="982" t="s">
        <v>402</v>
      </c>
      <c r="B20" s="302" t="s">
        <v>728</v>
      </c>
      <c r="C20" s="21">
        <f ca="1">ROUND(C19*F20,0)</f>
        <v>0</v>
      </c>
      <c r="D20" s="323" t="s">
        <v>729</v>
      </c>
      <c r="E20" s="302" t="s">
        <v>712</v>
      </c>
      <c r="F20" s="322">
        <f>'数据-取费表'!B37</f>
        <v>0.02</v>
      </c>
      <c r="G20" s="1393"/>
      <c r="H20" s="982"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7"/>
      <c r="F22" s="23"/>
      <c r="G22" s="1381"/>
      <c r="H22" s="982" t="s">
        <v>402</v>
      </c>
      <c r="I22" s="302" t="s">
        <v>738</v>
      </c>
      <c r="J22" s="21">
        <f ca="1">ROUND(J14*M22,0)</f>
        <v>0</v>
      </c>
      <c r="K22" s="1341" t="s">
        <v>739</v>
      </c>
      <c r="L22" s="302" t="s">
        <v>712</v>
      </c>
      <c r="M22" s="328">
        <f ca="1">INDIRECT("'数据-取费表'!Ak"&amp;$G$1)</f>
        <v>0</v>
      </c>
    </row>
    <row r="23" spans="1:37" s="1394"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2"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9" t="s">
        <v>684</v>
      </c>
      <c r="I24" s="1090" t="s">
        <v>728</v>
      </c>
      <c r="J24" s="1091">
        <f ca="1">ROUND(J5*M24,0)</f>
        <v>0</v>
      </c>
      <c r="K24" s="1092" t="s">
        <v>748</v>
      </c>
      <c r="L24" s="1090" t="s">
        <v>744</v>
      </c>
      <c r="M24" s="1086">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2" t="s">
        <v>749</v>
      </c>
      <c r="B25" s="302" t="s">
        <v>750</v>
      </c>
      <c r="C25" s="21"/>
      <c r="D25" s="131" t="s">
        <v>751</v>
      </c>
      <c r="E25" s="1357"/>
      <c r="F25" s="23"/>
      <c r="G25" s="1381"/>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9" t="s">
        <v>401</v>
      </c>
      <c r="B29" s="1090" t="s">
        <v>767</v>
      </c>
      <c r="C29" s="1091">
        <f ca="1">ROUND((C19+C20+C23+C26)/(1-F21-C24-C27-C28),0)</f>
        <v>0</v>
      </c>
      <c r="D29" s="1092"/>
      <c r="E29" s="1090"/>
      <c r="F29" s="1093"/>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9" t="s">
        <v>393</v>
      </c>
      <c r="B30" s="1080" t="s">
        <v>714</v>
      </c>
      <c r="C30" s="310">
        <f ca="1">ROUND(C31+C36+C37+C38,0)</f>
        <v>0</v>
      </c>
      <c r="D30" s="1087" t="s">
        <v>715</v>
      </c>
      <c r="E30" s="1088"/>
      <c r="F30" s="1072"/>
      <c r="G30" s="1381"/>
      <c r="H30" s="2688"/>
      <c r="I30" s="1395"/>
      <c r="J30" s="1396"/>
      <c r="K30" s="2467"/>
      <c r="L30" s="2689"/>
      <c r="M30" s="2690"/>
    </row>
    <row r="31" spans="1:37" ht="18" customHeight="1">
      <c r="A31" s="982" t="s">
        <v>398</v>
      </c>
      <c r="B31" s="302" t="s">
        <v>719</v>
      </c>
      <c r="C31" s="2309">
        <f ca="1">ROUND(IF(AND(项目基本情况!B11="自然人",项目基本情况!B10="北京市"),C6*F31/(1+'数据-取费表'!C42),C32+C33+C34),0)</f>
        <v>0</v>
      </c>
      <c r="D31" s="1342" t="s">
        <v>720</v>
      </c>
      <c r="E31" s="1341" t="s">
        <v>770</v>
      </c>
      <c r="F31" s="2308" t="str">
        <f>IF(项目基本情况!B11="企业","——",IF(M47="住宅",IF(F6*F7*F8/12/(1+'数据-取费表'!F30)&gt;100000,4%,2.5%),IF(F6*F7*F8/12/(1+'数据-取费表'!F30)&gt;100000,12%,7%)))</f>
        <v>——</v>
      </c>
      <c r="G31" s="1381"/>
      <c r="H31" s="2799" t="s">
        <v>2302</v>
      </c>
      <c r="I31" s="1395"/>
      <c r="J31" s="1396"/>
      <c r="K31" s="2467"/>
      <c r="L31" s="2689"/>
      <c r="M31" s="2690"/>
    </row>
    <row r="32" spans="1:37" ht="18" customHeight="1">
      <c r="A32" s="982" t="s">
        <v>397</v>
      </c>
      <c r="B32" s="302" t="s">
        <v>723</v>
      </c>
      <c r="C32" s="21">
        <f ca="1">IF(项目基本情况!B11="自然人","——",ROUND(C6*F32/(1+'数据-取费表'!C42),0))</f>
        <v>0</v>
      </c>
      <c r="D32" s="1341" t="s">
        <v>724</v>
      </c>
      <c r="E32" s="302" t="s">
        <v>712</v>
      </c>
      <c r="F32" s="331">
        <f>'数据-取费表'!B41</f>
        <v>5.5000000000000007E-2</v>
      </c>
      <c r="G32" s="1381"/>
      <c r="H32" s="2688"/>
      <c r="I32" s="1395"/>
      <c r="J32" s="1396"/>
      <c r="K32" s="2467"/>
      <c r="L32" s="2689"/>
      <c r="M32" s="2690"/>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7" t="s">
        <v>3334</v>
      </c>
      <c r="E33" s="302" t="s">
        <v>712</v>
      </c>
      <c r="F33" s="322">
        <f>IF(D33="按票据","——",IF(D33="按租金收入计税",'数据-取费表'!B51,'数据-取费表'!B50))</f>
        <v>0.12</v>
      </c>
      <c r="G33" s="1381"/>
      <c r="H33" s="2691"/>
      <c r="I33" s="1395"/>
      <c r="J33" s="1396"/>
      <c r="K33" s="2692"/>
      <c r="L33" s="2691"/>
      <c r="M33" s="2691"/>
    </row>
    <row r="34" spans="1:18" ht="18" customHeight="1">
      <c r="A34" s="1069" t="s">
        <v>680</v>
      </c>
      <c r="B34" s="155" t="s">
        <v>730</v>
      </c>
      <c r="C34" s="22">
        <f ca="1">IF(项目基本情况!B11="自然人","——",ROUND(F34*F35,0))</f>
        <v>0</v>
      </c>
      <c r="D34" s="324" t="s">
        <v>731</v>
      </c>
      <c r="E34" s="302" t="s">
        <v>732</v>
      </c>
      <c r="F34" s="325">
        <f>'数据-取费表'!B52</f>
        <v>1.5</v>
      </c>
      <c r="G34" s="1381"/>
      <c r="H34" s="2688"/>
      <c r="I34" s="1395"/>
      <c r="J34" s="1396"/>
      <c r="K34" s="2693"/>
      <c r="L34" s="2694"/>
      <c r="M34" s="2694"/>
    </row>
    <row r="35" spans="1:18" ht="18" customHeight="1">
      <c r="A35" s="1103"/>
      <c r="B35" s="1101"/>
      <c r="C35" s="26"/>
      <c r="D35" s="327"/>
      <c r="E35" s="302" t="s">
        <v>736</v>
      </c>
      <c r="F35" s="303">
        <f ca="1">INDIRECT("'数据-取费表'!r"&amp;$G$1)</f>
        <v>0</v>
      </c>
      <c r="G35" s="1381"/>
      <c r="H35" s="2688"/>
      <c r="I35" s="1395"/>
      <c r="J35" s="1396"/>
      <c r="K35" s="2692"/>
      <c r="L35" s="2691"/>
      <c r="M35" s="2691"/>
    </row>
    <row r="36" spans="1:18" ht="18" customHeight="1">
      <c r="A36" s="1102"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82"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9" t="s">
        <v>684</v>
      </c>
      <c r="B38" s="1090" t="s">
        <v>728</v>
      </c>
      <c r="C38" s="1091">
        <f ca="1">ROUND(C5*F38,0)</f>
        <v>0</v>
      </c>
      <c r="D38" s="1092" t="s">
        <v>748</v>
      </c>
      <c r="E38" s="1090" t="s">
        <v>744</v>
      </c>
      <c r="F38" s="1086">
        <f ca="1">INDIRECT("'数据-取费表'!Am"&amp;$G$1)</f>
        <v>0</v>
      </c>
      <c r="G38" s="1381"/>
      <c r="H38" s="2691"/>
      <c r="I38" s="1395"/>
      <c r="J38" s="1396"/>
      <c r="K38" s="2695"/>
      <c r="L38" s="2691"/>
      <c r="M38" s="2691"/>
    </row>
    <row r="39" spans="1:18" ht="24.6" customHeight="1" thickTop="1">
      <c r="A39" s="1079" t="s">
        <v>394</v>
      </c>
      <c r="B39" s="1094" t="s">
        <v>772</v>
      </c>
      <c r="C39" s="310">
        <f ca="1">C5-C30</f>
        <v>0</v>
      </c>
      <c r="D39" s="1095" t="s">
        <v>773</v>
      </c>
      <c r="E39" s="1096"/>
      <c r="F39" s="1097"/>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3350</v>
      </c>
      <c r="B45" s="1397"/>
      <c r="C45" s="1469" t="e">
        <f ca="1">ROUND((C68-C40)/10000,4)</f>
        <v>#DIV/0!</v>
      </c>
      <c r="D45" s="3423" t="s">
        <v>3351</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6" t="s">
        <v>687</v>
      </c>
      <c r="B47" s="978" t="s">
        <v>688</v>
      </c>
      <c r="C47" s="978" t="s">
        <v>689</v>
      </c>
      <c r="D47" s="978" t="s">
        <v>690</v>
      </c>
      <c r="E47" s="1058" t="s">
        <v>691</v>
      </c>
      <c r="F47" s="1059"/>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10" t="s">
        <v>438</v>
      </c>
      <c r="B48" s="300" t="s">
        <v>692</v>
      </c>
      <c r="C48" s="1356">
        <f ca="1">C49+C53+C55</f>
        <v>0</v>
      </c>
      <c r="D48" s="1112"/>
      <c r="E48" s="1113"/>
      <c r="F48" s="962"/>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5" t="s">
        <v>439</v>
      </c>
      <c r="B49" s="1368" t="s">
        <v>779</v>
      </c>
      <c r="C49" s="1114">
        <f ca="1">ROUND(F49*F51*F50*(1-F52),0)</f>
        <v>0</v>
      </c>
      <c r="D49" s="1055" t="s">
        <v>695</v>
      </c>
      <c r="E49" s="1369" t="s">
        <v>780</v>
      </c>
      <c r="F49" s="1060"/>
      <c r="G49" s="1422"/>
      <c r="H49" s="723"/>
      <c r="I49" s="1418" t="s">
        <v>823</v>
      </c>
      <c r="J49" s="1423"/>
      <c r="K49" s="1420" t="s">
        <v>824</v>
      </c>
      <c r="L49" s="1424"/>
      <c r="O49" s="1425" t="s">
        <v>405</v>
      </c>
      <c r="P49" s="1416" t="s">
        <v>825</v>
      </c>
      <c r="Q49" s="1417">
        <f ca="1">C29</f>
        <v>0</v>
      </c>
      <c r="R49" s="1417" t="s">
        <v>818</v>
      </c>
    </row>
    <row r="50" spans="1:18" s="1381" customFormat="1" ht="13.5" thickBot="1">
      <c r="A50" s="976"/>
      <c r="B50" s="979"/>
      <c r="C50" s="980"/>
      <c r="D50" s="953"/>
      <c r="E50" s="1056" t="s">
        <v>697</v>
      </c>
      <c r="F50" s="1057">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7"/>
      <c r="B51" s="979"/>
      <c r="C51" s="980"/>
      <c r="D51" s="953"/>
      <c r="E51" s="981"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7"/>
      <c r="B52" s="979"/>
      <c r="C52" s="980"/>
      <c r="D52" s="953"/>
      <c r="E52" s="981" t="s">
        <v>699</v>
      </c>
      <c r="F52" s="1054"/>
      <c r="I52" s="1434" t="s">
        <v>832</v>
      </c>
      <c r="J52" s="1435"/>
      <c r="K52" s="1434" t="s">
        <v>833</v>
      </c>
      <c r="L52" s="1435"/>
      <c r="O52" s="1425" t="s">
        <v>408</v>
      </c>
      <c r="P52" s="1416" t="s">
        <v>834</v>
      </c>
      <c r="Q52" s="1417">
        <f ca="1">J53</f>
        <v>0</v>
      </c>
      <c r="R52" s="1417" t="s">
        <v>835</v>
      </c>
    </row>
    <row r="53" spans="1:18" s="1381" customFormat="1" ht="30.75" customHeight="1" thickBot="1">
      <c r="A53" s="1111" t="s">
        <v>440</v>
      </c>
      <c r="B53" s="323" t="s">
        <v>700</v>
      </c>
      <c r="C53" s="316">
        <f ca="1">ROUND(IF(F53="押一",C49/12*F11,IF(F53="押二",C49/12*2*F11,IF(F53="押三",C49/12*3*F11,C54*F11))),0)</f>
        <v>0</v>
      </c>
      <c r="D53" s="1363" t="s">
        <v>2115</v>
      </c>
      <c r="E53" s="313" t="s">
        <v>701</v>
      </c>
      <c r="F53" s="1116"/>
      <c r="I53" s="1436" t="s">
        <v>836</v>
      </c>
      <c r="J53" s="2161">
        <f ca="1">IF(M47="住宅",IF(D1="——",MAX(J51,L48),MAX(J51,L48-'数据-取费表'!B24)),IF(D1="——",MIN(J51,L48),MIN(J51,L48-'数据-取费表'!B24)))</f>
        <v>0</v>
      </c>
      <c r="K53" s="3768" t="s">
        <v>837</v>
      </c>
      <c r="L53" s="3769"/>
      <c r="O53" s="1415" t="s">
        <v>409</v>
      </c>
      <c r="P53" s="1416" t="s">
        <v>838</v>
      </c>
      <c r="Q53" s="1417" t="e">
        <f ca="1">Q47+Q48</f>
        <v>#DIV/0!</v>
      </c>
      <c r="R53" s="1417" t="s">
        <v>410</v>
      </c>
    </row>
    <row r="54" spans="1:18" s="1381" customFormat="1" ht="13.5" thickBot="1">
      <c r="A54" s="975"/>
      <c r="B54" s="1470" t="s">
        <v>891</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3" t="s">
        <v>437</v>
      </c>
      <c r="B55" s="1366" t="s">
        <v>703</v>
      </c>
      <c r="C55" s="1084"/>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7">
        <v>2</v>
      </c>
      <c r="B56" s="958"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50"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8" t="s">
        <v>714</v>
      </c>
      <c r="C58" s="316">
        <f ca="1">ROUND(C59+C64+C65+C66,0)</f>
        <v>0</v>
      </c>
      <c r="D58" s="960" t="s">
        <v>715</v>
      </c>
      <c r="E58" s="961"/>
      <c r="F58" s="962"/>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09">
        <f ca="1">ROUND(IF(AND(项目基本情况!B11="自然人",项目基本情况!B10="北京市"),C49*F59/(1+'数据-取费表'!C42),C60+C61+C62),0)</f>
        <v>0</v>
      </c>
      <c r="D59" s="963" t="s">
        <v>720</v>
      </c>
      <c r="E59" s="964" t="s">
        <v>721</v>
      </c>
      <c r="F59" s="2308"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IF(项目基本情况!B11="自然人","——",IF(D61="按租金收入计税",ROUND(C49*F61/(1+'数据-取费表'!C42),0),IF(D61="按房产原值计税",ROUND(C57*F61*0.7,0),INDIRECT("'数据-取费表'!Aj"&amp;$G$1))))</f>
        <v>0</v>
      </c>
      <c r="D61" s="1367" t="s">
        <v>3334</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IF(项目基本情况!B11="自然人","——",ROUND(F62*F63,0))</f>
        <v>0</v>
      </c>
      <c r="D62" s="965" t="s">
        <v>786</v>
      </c>
      <c r="E62" s="950"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6"/>
      <c r="C63" s="26"/>
      <c r="D63" s="966"/>
      <c r="E63" s="950"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ROUND(C57*F64,0)</f>
        <v>0</v>
      </c>
      <c r="D64" s="964" t="s">
        <v>791</v>
      </c>
      <c r="E64" s="950"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ROUND(C56*F65,0)</f>
        <v>0</v>
      </c>
      <c r="D65" s="964" t="s">
        <v>743</v>
      </c>
      <c r="E65" s="950"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2" t="s">
        <v>793</v>
      </c>
      <c r="B66" s="950" t="s">
        <v>728</v>
      </c>
      <c r="C66" s="21">
        <f ca="1">ROUND(C48*F66,0)</f>
        <v>0</v>
      </c>
      <c r="D66" s="964" t="s">
        <v>794</v>
      </c>
      <c r="E66" s="950" t="s">
        <v>712</v>
      </c>
      <c r="F66" s="312">
        <f t="shared" ca="1" si="0"/>
        <v>0</v>
      </c>
      <c r="O66" s="1415" t="s">
        <v>404</v>
      </c>
      <c r="P66" s="1416" t="s">
        <v>846</v>
      </c>
      <c r="Q66" s="1417" t="e">
        <f ca="1">L60</f>
        <v>#DIV/0!</v>
      </c>
      <c r="R66" s="1417" t="s">
        <v>869</v>
      </c>
    </row>
    <row r="67" spans="1:18" s="1381" customFormat="1" ht="16.5" thickBot="1">
      <c r="A67" s="957" t="s">
        <v>394</v>
      </c>
      <c r="B67" s="967" t="s">
        <v>752</v>
      </c>
      <c r="C67" s="316">
        <f ca="1">C48-C58</f>
        <v>0</v>
      </c>
      <c r="D67" s="963" t="s">
        <v>753</v>
      </c>
      <c r="E67" s="968"/>
      <c r="F67" s="969"/>
      <c r="O67" s="1425" t="s">
        <v>405</v>
      </c>
      <c r="P67" s="1416" t="s">
        <v>850</v>
      </c>
      <c r="Q67" s="1463">
        <f ca="1">L51</f>
        <v>0</v>
      </c>
      <c r="R67" s="1417" t="s">
        <v>870</v>
      </c>
    </row>
    <row r="68" spans="1:18" s="1381" customFormat="1" ht="16.5" thickBot="1">
      <c r="A68" s="947" t="s">
        <v>395</v>
      </c>
      <c r="B68" s="948" t="s">
        <v>774</v>
      </c>
      <c r="C68" s="301" t="e">
        <f ca="1">ROUND(C67*(1-((1+F70)/(1+F68))^F69)/(F68-F70),0)</f>
        <v>#DIV/0!</v>
      </c>
      <c r="D68" s="965" t="s">
        <v>758</v>
      </c>
      <c r="E68" s="950" t="s">
        <v>759</v>
      </c>
      <c r="F68" s="312">
        <f ca="1">F40</f>
        <v>0</v>
      </c>
      <c r="O68" s="1425" t="s">
        <v>406</v>
      </c>
      <c r="P68" s="1464" t="s">
        <v>871</v>
      </c>
      <c r="Q68" s="1417">
        <f ca="1">ROUND(Q69-Q70*Q71,0)</f>
        <v>0</v>
      </c>
      <c r="R68" s="1417" t="s">
        <v>414</v>
      </c>
    </row>
    <row r="69" spans="1:18" s="1381" customFormat="1" ht="13.5" thickBot="1">
      <c r="A69" s="951"/>
      <c r="B69" s="952"/>
      <c r="C69" s="306"/>
      <c r="D69" s="970" t="s">
        <v>762</v>
      </c>
      <c r="E69" s="950" t="s">
        <v>763</v>
      </c>
      <c r="F69" s="333">
        <f ca="1">F41</f>
        <v>0</v>
      </c>
      <c r="O69" s="1425" t="s">
        <v>411</v>
      </c>
      <c r="P69" s="1464" t="s">
        <v>872</v>
      </c>
      <c r="Q69" s="1417">
        <f ca="1">C39</f>
        <v>0</v>
      </c>
      <c r="R69" s="1417" t="s">
        <v>818</v>
      </c>
    </row>
    <row r="70" spans="1:18" s="1381" customFormat="1" ht="13.5" thickBot="1">
      <c r="A70" s="954"/>
      <c r="B70" s="955"/>
      <c r="C70" s="310"/>
      <c r="D70" s="966"/>
      <c r="E70" s="950" t="s">
        <v>766</v>
      </c>
      <c r="F70" s="1054"/>
      <c r="O70" s="1425" t="s">
        <v>412</v>
      </c>
      <c r="P70" s="1464" t="s">
        <v>873</v>
      </c>
      <c r="Q70" s="1417">
        <f ca="1">C13</f>
        <v>0</v>
      </c>
      <c r="R70" s="1417" t="s">
        <v>818</v>
      </c>
    </row>
    <row r="71" spans="1:18" s="1381" customFormat="1" ht="13.5" thickBot="1">
      <c r="A71" s="971" t="s">
        <v>396</v>
      </c>
      <c r="B71" s="972" t="s">
        <v>776</v>
      </c>
      <c r="C71" s="336" t="e">
        <f ca="1">ROUND(C68/F71,0)</f>
        <v>#DIV/0!</v>
      </c>
      <c r="D71" s="973" t="s">
        <v>777</v>
      </c>
      <c r="E71" s="974"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估价对象为北京市房地产，为所有。根据《国有土地使用证》[]，估价对象（分摊）出让国有建设用地使用权面积为53629.25平方米，建筑面积为155268.5平方米。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估价对象为北京市房地产,为开发建设的居住项目，该项目尚在开发建设中。根据《国有土地使用证》[]，估价对象（分摊）出让国有建设用地使用权面积为53629.25平方米，规划建筑面积为155268.5平方米。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2023年7月17日（评估专业人员实地查勘之日）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2431</v>
      </c>
      <c r="B1" s="2823"/>
      <c r="C1" s="2835"/>
      <c r="D1" s="2835"/>
      <c r="E1" s="2824"/>
      <c r="F1" s="2825"/>
      <c r="G1" s="2826"/>
      <c r="J1" s="2829" t="s">
        <v>2310</v>
      </c>
      <c r="K1" s="2830"/>
      <c r="L1" s="2830"/>
      <c r="M1" s="2830"/>
      <c r="N1" s="2830"/>
      <c r="O1" s="2830"/>
      <c r="P1" s="2830"/>
      <c r="Q1" s="2830"/>
      <c r="R1" s="2831"/>
      <c r="S1" s="2832"/>
      <c r="T1" s="2832"/>
      <c r="U1" s="2832"/>
    </row>
    <row r="2" spans="1:22" s="2844" customFormat="1" ht="13.15" customHeight="1">
      <c r="A2" s="1382" t="s">
        <v>2311</v>
      </c>
      <c r="B2" s="2834" t="e">
        <f>IF(D2="——",C40,C40+E2)</f>
        <v>#DIV/0!</v>
      </c>
      <c r="C2" s="2835" t="s">
        <v>2312</v>
      </c>
      <c r="D2" s="3434" t="s">
        <v>3357</v>
      </c>
      <c r="E2" s="3435"/>
      <c r="F2" s="2837"/>
      <c r="G2" s="2838"/>
      <c r="H2" s="2839"/>
      <c r="I2" s="2840"/>
      <c r="J2" s="3773" t="s">
        <v>2313</v>
      </c>
      <c r="K2" s="3774"/>
      <c r="L2" s="2841" t="s">
        <v>2314</v>
      </c>
      <c r="M2" s="2841" t="s">
        <v>2315</v>
      </c>
      <c r="N2" s="2841" t="s">
        <v>2316</v>
      </c>
      <c r="O2" s="2841" t="s">
        <v>2317</v>
      </c>
      <c r="P2" s="2841" t="s">
        <v>2318</v>
      </c>
      <c r="Q2" s="2842" t="s">
        <v>2319</v>
      </c>
      <c r="R2" s="2843" t="s">
        <v>2320</v>
      </c>
      <c r="S2" s="2832"/>
      <c r="T2" s="2832"/>
      <c r="U2" s="2832"/>
      <c r="V2" s="2840"/>
    </row>
    <row r="3" spans="1:22" s="2844" customFormat="1" ht="13.15" customHeight="1">
      <c r="A3" s="2845" t="s">
        <v>2321</v>
      </c>
      <c r="B3" s="2846" t="e">
        <f>ROUND(B2*10000/B4,0)</f>
        <v>#DIV/0!</v>
      </c>
      <c r="C3" s="2835" t="s">
        <v>2322</v>
      </c>
      <c r="D3" s="2835"/>
      <c r="E3" s="2836"/>
      <c r="F3" s="2837"/>
      <c r="G3" s="2838"/>
      <c r="H3" s="2839"/>
      <c r="I3" s="2840"/>
      <c r="J3" s="3775" t="s">
        <v>2323</v>
      </c>
      <c r="K3" s="3776"/>
      <c r="L3" s="2847"/>
      <c r="M3" s="2847"/>
      <c r="N3" s="2847"/>
      <c r="O3" s="2847"/>
      <c r="P3" s="2847"/>
      <c r="Q3" s="2848"/>
      <c r="R3" s="2849">
        <f>SUM(L3:Q3)</f>
        <v>0</v>
      </c>
      <c r="S3" s="2832"/>
      <c r="T3" s="2832"/>
      <c r="U3" s="2832"/>
      <c r="V3" s="2840"/>
    </row>
    <row r="4" spans="1:22" s="2844" customFormat="1" ht="13.15" customHeight="1">
      <c r="A4" s="2850" t="s">
        <v>2324</v>
      </c>
      <c r="B4" s="2851"/>
      <c r="C4" s="2835"/>
      <c r="D4" s="2835"/>
      <c r="E4" s="2836"/>
      <c r="F4" s="2837"/>
      <c r="G4" s="2838"/>
      <c r="H4" s="2839"/>
      <c r="I4" s="2840"/>
      <c r="J4" s="3775" t="s">
        <v>2325</v>
      </c>
      <c r="K4" s="3776"/>
      <c r="L4" s="2852"/>
      <c r="M4" s="2852"/>
      <c r="N4" s="2852"/>
      <c r="O4" s="2852"/>
      <c r="P4" s="2852"/>
      <c r="Q4" s="2853"/>
      <c r="R4" s="2854">
        <f>SUM(L4:Q4)</f>
        <v>0</v>
      </c>
      <c r="S4" s="2832"/>
      <c r="T4" s="2832"/>
      <c r="U4" s="2832"/>
      <c r="V4" s="2840"/>
    </row>
    <row r="5" spans="1:22" s="2844" customFormat="1" ht="13.15" customHeight="1" thickBot="1">
      <c r="A5" s="2855" t="s">
        <v>2326</v>
      </c>
      <c r="B5" s="2856"/>
      <c r="C5" s="2835"/>
      <c r="D5" s="2857"/>
      <c r="E5" s="2837"/>
      <c r="F5" s="2837"/>
      <c r="G5" s="2838"/>
      <c r="H5" s="2839"/>
      <c r="I5" s="2840"/>
      <c r="J5" s="2858" t="s">
        <v>2327</v>
      </c>
      <c r="K5" s="2859"/>
      <c r="L5" s="2859"/>
      <c r="M5" s="2860"/>
      <c r="N5" s="2860"/>
      <c r="O5" s="2860"/>
      <c r="P5" s="2860"/>
      <c r="Q5" s="2860"/>
      <c r="R5" s="2843">
        <f>SUM(R14,R19,R24,R25,R27,R28)</f>
        <v>0</v>
      </c>
      <c r="S5" s="2832"/>
      <c r="T5" s="2832" t="s">
        <v>2328</v>
      </c>
      <c r="U5" s="2832" t="e">
        <f>ROUND(R5*10000/365/R3,1)</f>
        <v>#DIV/0!</v>
      </c>
      <c r="V5" s="2840"/>
    </row>
    <row r="6" spans="1:22" s="2844" customFormat="1" ht="13.15" customHeight="1" thickBot="1">
      <c r="A6" s="3777" t="s">
        <v>2329</v>
      </c>
      <c r="B6" s="3778"/>
      <c r="C6" s="3779"/>
      <c r="D6" s="2861"/>
      <c r="E6" s="2862"/>
      <c r="F6" s="2863"/>
      <c r="G6" s="2864"/>
      <c r="H6" s="2839"/>
      <c r="I6" s="2840"/>
      <c r="J6" s="3780">
        <v>1</v>
      </c>
      <c r="K6" s="3781" t="s">
        <v>2330</v>
      </c>
      <c r="L6" s="2865" t="s">
        <v>2331</v>
      </c>
      <c r="M6" s="2866" t="s">
        <v>2332</v>
      </c>
      <c r="N6" s="2866" t="s">
        <v>2333</v>
      </c>
      <c r="O6" s="2866" t="s">
        <v>2334</v>
      </c>
      <c r="P6" s="2866" t="s">
        <v>2335</v>
      </c>
      <c r="Q6" s="2866" t="s">
        <v>2336</v>
      </c>
      <c r="R6" s="2849" t="s">
        <v>2337</v>
      </c>
      <c r="S6" s="2832"/>
      <c r="T6" s="2832" t="s">
        <v>2338</v>
      </c>
      <c r="U6" s="2832"/>
      <c r="V6" s="2840"/>
    </row>
    <row r="7" spans="1:22" s="2844" customFormat="1" ht="13.15" customHeight="1">
      <c r="A7" s="2867" t="s">
        <v>2339</v>
      </c>
      <c r="B7" s="2868"/>
      <c r="C7" s="2869"/>
      <c r="D7" s="2870">
        <f>SUM(D9,D10,D11,D17,0)</f>
        <v>0</v>
      </c>
      <c r="E7" s="2871" t="e">
        <f>E9+E10+E11+E17</f>
        <v>#DIV/0!</v>
      </c>
      <c r="F7" s="2872"/>
      <c r="G7" s="2873"/>
      <c r="H7" s="2839"/>
      <c r="I7" s="2840"/>
      <c r="J7" s="3780"/>
      <c r="K7" s="3782"/>
      <c r="L7" s="2874" t="s">
        <v>2340</v>
      </c>
      <c r="M7" s="2875"/>
      <c r="N7" s="2851"/>
      <c r="O7" s="2876"/>
      <c r="P7" s="2876"/>
      <c r="Q7" s="2877">
        <v>365</v>
      </c>
      <c r="R7" s="2878">
        <f>ROUND(M7*N7*O7*P7*Q7/10000,0)</f>
        <v>0</v>
      </c>
      <c r="S7" s="2832"/>
      <c r="T7" s="2832" t="s">
        <v>2341</v>
      </c>
      <c r="U7" s="2832"/>
      <c r="V7" s="2840"/>
    </row>
    <row r="8" spans="1:22" s="2844" customFormat="1" ht="13.15" customHeight="1">
      <c r="A8" s="2879" t="s">
        <v>2342</v>
      </c>
      <c r="B8" s="3784" t="s">
        <v>2343</v>
      </c>
      <c r="C8" s="3785"/>
      <c r="D8" s="2880" t="s">
        <v>2344</v>
      </c>
      <c r="E8" s="2881" t="s">
        <v>2345</v>
      </c>
      <c r="F8" s="2882" t="s">
        <v>2346</v>
      </c>
      <c r="G8" s="2883"/>
      <c r="H8" s="2839"/>
      <c r="I8" s="2840"/>
      <c r="J8" s="3780"/>
      <c r="K8" s="3782"/>
      <c r="L8" s="2874" t="s">
        <v>2347</v>
      </c>
      <c r="M8" s="2875"/>
      <c r="N8" s="2851"/>
      <c r="O8" s="2876"/>
      <c r="P8" s="2876"/>
      <c r="Q8" s="2877">
        <v>365</v>
      </c>
      <c r="R8" s="2878">
        <f t="shared" ref="R8:R13" si="0">ROUND(M8*N8*O8*P8*Q8/10000,0)</f>
        <v>0</v>
      </c>
      <c r="S8" s="2832"/>
      <c r="T8" s="2832" t="s">
        <v>2348</v>
      </c>
      <c r="U8" s="2832"/>
      <c r="V8" s="2840"/>
    </row>
    <row r="9" spans="1:22" s="2844" customFormat="1" ht="13.15" customHeight="1">
      <c r="A9" s="2879">
        <v>1</v>
      </c>
      <c r="B9" s="3784" t="s">
        <v>2349</v>
      </c>
      <c r="C9" s="3785"/>
      <c r="D9" s="2880">
        <f>ROUND(D6*E9,0)</f>
        <v>0</v>
      </c>
      <c r="E9" s="2884"/>
      <c r="F9" s="2885" t="s">
        <v>2350</v>
      </c>
      <c r="G9" s="2864"/>
      <c r="H9" s="2839"/>
      <c r="I9" s="2840"/>
      <c r="J9" s="3780"/>
      <c r="K9" s="3782"/>
      <c r="L9" s="2874" t="s">
        <v>2351</v>
      </c>
      <c r="M9" s="2875"/>
      <c r="N9" s="2851"/>
      <c r="O9" s="2876"/>
      <c r="P9" s="2876"/>
      <c r="Q9" s="2877">
        <v>365</v>
      </c>
      <c r="R9" s="2878">
        <f t="shared" si="0"/>
        <v>0</v>
      </c>
      <c r="S9" s="2832"/>
      <c r="T9" s="2832"/>
      <c r="U9" s="2832"/>
      <c r="V9" s="2840"/>
    </row>
    <row r="10" spans="1:22" s="2844" customFormat="1" ht="13.15" customHeight="1">
      <c r="A10" s="2879">
        <v>2</v>
      </c>
      <c r="B10" s="3784" t="s">
        <v>2352</v>
      </c>
      <c r="C10" s="3785"/>
      <c r="D10" s="2880">
        <f>ROUND(D6*E10,0)</f>
        <v>0</v>
      </c>
      <c r="E10" s="2884"/>
      <c r="F10" s="2885" t="s">
        <v>2353</v>
      </c>
      <c r="G10" s="2864"/>
      <c r="H10" s="2839"/>
      <c r="I10" s="2840"/>
      <c r="J10" s="3780"/>
      <c r="K10" s="3782"/>
      <c r="L10" s="2874" t="s">
        <v>2354</v>
      </c>
      <c r="M10" s="2875"/>
      <c r="N10" s="2851"/>
      <c r="O10" s="2876"/>
      <c r="P10" s="2876"/>
      <c r="Q10" s="2877">
        <v>365</v>
      </c>
      <c r="R10" s="2878">
        <f t="shared" si="0"/>
        <v>0</v>
      </c>
      <c r="S10" s="2832"/>
      <c r="T10" s="2832"/>
      <c r="U10" s="2832"/>
      <c r="V10" s="2840"/>
    </row>
    <row r="11" spans="1:22" s="2844" customFormat="1" ht="13.15" customHeight="1">
      <c r="A11" s="2879">
        <v>3</v>
      </c>
      <c r="B11" s="3784" t="s">
        <v>2355</v>
      </c>
      <c r="C11" s="3785"/>
      <c r="D11" s="2880">
        <f>D12+D14+D15+D16</f>
        <v>0</v>
      </c>
      <c r="E11" s="2886" t="e">
        <f>D11/D6</f>
        <v>#DIV/0!</v>
      </c>
      <c r="F11" s="2882"/>
      <c r="G11" s="2883"/>
      <c r="H11" s="2839"/>
      <c r="I11" s="2840"/>
      <c r="J11" s="3780"/>
      <c r="K11" s="3782"/>
      <c r="L11" s="2874" t="s">
        <v>2356</v>
      </c>
      <c r="M11" s="2875"/>
      <c r="N11" s="2851"/>
      <c r="O11" s="2876"/>
      <c r="P11" s="2876"/>
      <c r="Q11" s="2877">
        <v>365</v>
      </c>
      <c r="R11" s="2878">
        <f t="shared" si="0"/>
        <v>0</v>
      </c>
      <c r="S11" s="2832"/>
      <c r="T11" s="2832"/>
      <c r="U11" s="2832"/>
      <c r="V11" s="2840"/>
    </row>
    <row r="12" spans="1:22" s="2844" customFormat="1" ht="13.15" customHeight="1">
      <c r="A12" s="2887" t="s">
        <v>2357</v>
      </c>
      <c r="B12" s="3786" t="s">
        <v>2358</v>
      </c>
      <c r="C12" s="3787"/>
      <c r="D12" s="2888">
        <f>ROUND(D13*1.2%*(1-30%),0)</f>
        <v>0</v>
      </c>
      <c r="E12" s="2889">
        <v>1.2E-2</v>
      </c>
      <c r="F12" s="2882" t="s">
        <v>2359</v>
      </c>
      <c r="G12" s="2883"/>
      <c r="H12" s="2839"/>
      <c r="I12" s="2840"/>
      <c r="J12" s="3780"/>
      <c r="K12" s="3782"/>
      <c r="L12" s="2874" t="s">
        <v>2360</v>
      </c>
      <c r="M12" s="2875"/>
      <c r="N12" s="2851"/>
      <c r="O12" s="2876"/>
      <c r="P12" s="2876"/>
      <c r="Q12" s="2877">
        <v>365</v>
      </c>
      <c r="R12" s="2878">
        <f t="shared" si="0"/>
        <v>0</v>
      </c>
      <c r="S12" s="2832"/>
      <c r="T12" s="2832"/>
      <c r="U12" s="2832"/>
      <c r="V12" s="2840"/>
    </row>
    <row r="13" spans="1:22" s="2844" customFormat="1" ht="13.15" customHeight="1">
      <c r="A13" s="2887"/>
      <c r="B13" s="2890"/>
      <c r="C13" s="2891" t="s">
        <v>2361</v>
      </c>
      <c r="D13" s="2892"/>
      <c r="E13" s="2893"/>
      <c r="F13" s="2882"/>
      <c r="G13" s="2883"/>
      <c r="H13" s="2839"/>
      <c r="I13" s="2840"/>
      <c r="J13" s="3780"/>
      <c r="K13" s="3782"/>
      <c r="L13" s="2874" t="s">
        <v>2362</v>
      </c>
      <c r="M13" s="2875"/>
      <c r="N13" s="2851"/>
      <c r="O13" s="2876"/>
      <c r="P13" s="2876"/>
      <c r="Q13" s="2877">
        <v>365</v>
      </c>
      <c r="R13" s="2878">
        <f t="shared" si="0"/>
        <v>0</v>
      </c>
      <c r="S13" s="2832"/>
      <c r="T13" s="2832"/>
      <c r="U13" s="2832"/>
      <c r="V13" s="2840"/>
    </row>
    <row r="14" spans="1:22" s="2844" customFormat="1" ht="13.15" customHeight="1">
      <c r="A14" s="2887" t="s">
        <v>2363</v>
      </c>
      <c r="B14" s="3786" t="s">
        <v>2364</v>
      </c>
      <c r="C14" s="3787"/>
      <c r="D14" s="2888">
        <f>ROUND(E14*B5/10000,0)</f>
        <v>0</v>
      </c>
      <c r="E14" s="2877"/>
      <c r="F14" s="2882" t="s">
        <v>2365</v>
      </c>
      <c r="G14" s="2883"/>
      <c r="H14" s="2839"/>
      <c r="I14" s="2840"/>
      <c r="J14" s="3780"/>
      <c r="K14" s="3783"/>
      <c r="L14" s="2894" t="s">
        <v>2366</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2367</v>
      </c>
      <c r="B15" s="3786" t="s">
        <v>2368</v>
      </c>
      <c r="C15" s="3787"/>
      <c r="D15" s="2888">
        <f>ROUND(D6*E15,0)</f>
        <v>0</v>
      </c>
      <c r="E15" s="2889">
        <v>5.5E-2</v>
      </c>
      <c r="F15" s="2882" t="s">
        <v>2369</v>
      </c>
      <c r="G15" s="2864"/>
      <c r="H15" s="2839"/>
      <c r="I15" s="2840"/>
      <c r="J15" s="3780">
        <v>2</v>
      </c>
      <c r="K15" s="3781" t="s">
        <v>2370</v>
      </c>
      <c r="L15" s="2874" t="s">
        <v>2371</v>
      </c>
      <c r="M15" s="2875" t="s">
        <v>2372</v>
      </c>
      <c r="N15" s="2875" t="s">
        <v>2373</v>
      </c>
      <c r="O15" s="2876" t="s">
        <v>2374</v>
      </c>
      <c r="P15" s="2876" t="s">
        <v>2336</v>
      </c>
      <c r="Q15" s="2851" t="s">
        <v>2375</v>
      </c>
      <c r="R15" s="2898" t="s">
        <v>2337</v>
      </c>
      <c r="S15" s="2832"/>
      <c r="T15" s="2832"/>
      <c r="U15" s="2832"/>
      <c r="V15" s="2840"/>
    </row>
    <row r="16" spans="1:22" s="2844" customFormat="1" ht="13.15" customHeight="1">
      <c r="A16" s="2887" t="s">
        <v>2376</v>
      </c>
      <c r="B16" s="3786" t="s">
        <v>2377</v>
      </c>
      <c r="C16" s="3787"/>
      <c r="D16" s="2899">
        <f>D6*E16</f>
        <v>0</v>
      </c>
      <c r="E16" s="2900"/>
      <c r="F16" s="2885" t="s">
        <v>2378</v>
      </c>
      <c r="G16" s="2864"/>
      <c r="H16" s="2839"/>
      <c r="I16" s="2840"/>
      <c r="J16" s="3780"/>
      <c r="K16" s="3782"/>
      <c r="L16" s="2874" t="s">
        <v>2379</v>
      </c>
      <c r="M16" s="2875"/>
      <c r="N16" s="2875"/>
      <c r="O16" s="2876"/>
      <c r="P16" s="2877">
        <v>365</v>
      </c>
      <c r="Q16" s="2851"/>
      <c r="R16" s="2898">
        <f>ROUND(M16*N16*O16*P16/10000,0)</f>
        <v>0</v>
      </c>
      <c r="S16" s="2832"/>
      <c r="T16" s="2832"/>
      <c r="U16" s="2832"/>
      <c r="V16" s="2840"/>
    </row>
    <row r="17" spans="1:22" s="2844" customFormat="1" ht="13.15" customHeight="1" thickBot="1">
      <c r="A17" s="2901">
        <v>4</v>
      </c>
      <c r="B17" s="3788" t="s">
        <v>2380</v>
      </c>
      <c r="C17" s="3789"/>
      <c r="D17" s="2902">
        <f>ROUND(D6*E17,0)</f>
        <v>0</v>
      </c>
      <c r="E17" s="2903"/>
      <c r="F17" s="2904" t="s">
        <v>2381</v>
      </c>
      <c r="G17" s="2864"/>
      <c r="H17" s="2839"/>
      <c r="I17" s="2840"/>
      <c r="J17" s="3780"/>
      <c r="K17" s="3782"/>
      <c r="L17" s="2874" t="s">
        <v>2382</v>
      </c>
      <c r="M17" s="2875"/>
      <c r="N17" s="2875"/>
      <c r="O17" s="2876"/>
      <c r="P17" s="2877">
        <v>365</v>
      </c>
      <c r="Q17" s="2851"/>
      <c r="R17" s="2898">
        <f>ROUND(M17*N17*O17*P17/10000,0)</f>
        <v>0</v>
      </c>
      <c r="S17" s="2832"/>
      <c r="T17" s="2832"/>
      <c r="U17" s="2832"/>
      <c r="V17" s="2840"/>
    </row>
    <row r="18" spans="1:22" s="2844" customFormat="1" ht="13.15" customHeight="1" thickBot="1">
      <c r="A18" s="2867" t="s">
        <v>2383</v>
      </c>
      <c r="B18" s="2868"/>
      <c r="C18" s="2868"/>
      <c r="D18" s="2905">
        <f>ROUND(D6*E18,0)</f>
        <v>0</v>
      </c>
      <c r="E18" s="2906"/>
      <c r="F18" s="2907" t="s">
        <v>2384</v>
      </c>
      <c r="G18" s="2864"/>
      <c r="H18" s="2839"/>
      <c r="I18" s="2840"/>
      <c r="J18" s="3780"/>
      <c r="K18" s="3782"/>
      <c r="L18" s="2874" t="s">
        <v>2385</v>
      </c>
      <c r="M18" s="2875"/>
      <c r="N18" s="2875"/>
      <c r="O18" s="2876"/>
      <c r="P18" s="2877">
        <v>365</v>
      </c>
      <c r="Q18" s="2851"/>
      <c r="R18" s="2898">
        <f>ROUND(M18*N18*O18*P18/10000,0)</f>
        <v>0</v>
      </c>
      <c r="S18" s="2832"/>
      <c r="T18" s="2832"/>
      <c r="U18" s="2832"/>
      <c r="V18" s="2840"/>
    </row>
    <row r="19" spans="1:22" s="2844" customFormat="1" ht="13.15" customHeight="1" thickBot="1">
      <c r="A19" s="2908" t="s">
        <v>2386</v>
      </c>
      <c r="B19" s="2862"/>
      <c r="C19" s="2862"/>
      <c r="D19" s="2862"/>
      <c r="E19" s="2862"/>
      <c r="F19" s="2863"/>
      <c r="G19" s="2883"/>
      <c r="H19" s="2839"/>
      <c r="I19" s="2840"/>
      <c r="J19" s="3780"/>
      <c r="K19" s="3783"/>
      <c r="L19" s="2894" t="s">
        <v>2366</v>
      </c>
      <c r="M19" s="2895"/>
      <c r="N19" s="2895">
        <f>SUM(N16:N18)</f>
        <v>0</v>
      </c>
      <c r="O19" s="2896"/>
      <c r="P19" s="2909" t="s">
        <v>2430</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80">
        <v>3</v>
      </c>
      <c r="K20" s="3781" t="s">
        <v>2387</v>
      </c>
      <c r="L20" s="2874" t="s">
        <v>2388</v>
      </c>
      <c r="M20" s="2875" t="s">
        <v>2389</v>
      </c>
      <c r="N20" s="2912" t="s">
        <v>2390</v>
      </c>
      <c r="O20" s="2876" t="s">
        <v>2391</v>
      </c>
      <c r="P20" s="2877" t="s">
        <v>2392</v>
      </c>
      <c r="Q20" s="2851" t="s">
        <v>2393</v>
      </c>
      <c r="R20" s="2898" t="s">
        <v>2394</v>
      </c>
      <c r="S20" s="2913"/>
      <c r="T20" s="2913"/>
      <c r="U20" s="2913"/>
      <c r="V20" s="2840"/>
    </row>
    <row r="21" spans="1:22" s="2844" customFormat="1" ht="13.15" customHeight="1">
      <c r="A21" s="2867"/>
      <c r="B21" s="2868"/>
      <c r="C21" s="2914" t="s">
        <v>2395</v>
      </c>
      <c r="D21" s="2915" t="s">
        <v>2396</v>
      </c>
      <c r="E21" s="2916" t="s">
        <v>2397</v>
      </c>
      <c r="F21" s="2911"/>
      <c r="G21" s="2883"/>
      <c r="H21" s="2839"/>
      <c r="I21" s="2840"/>
      <c r="J21" s="3780"/>
      <c r="K21" s="3782"/>
      <c r="L21" s="2874" t="s">
        <v>2398</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2399</v>
      </c>
      <c r="D22" s="2919" t="s">
        <v>2400</v>
      </c>
      <c r="E22" s="2920" t="s">
        <v>2401</v>
      </c>
      <c r="F22" s="2911"/>
      <c r="G22" s="2921"/>
      <c r="H22" s="2839"/>
      <c r="I22" s="2840"/>
      <c r="J22" s="3780"/>
      <c r="K22" s="3782"/>
      <c r="L22" s="2874" t="s">
        <v>2402</v>
      </c>
      <c r="M22" s="2875"/>
      <c r="N22" s="2875"/>
      <c r="O22" s="2876"/>
      <c r="P22" s="2877">
        <v>365</v>
      </c>
      <c r="Q22" s="2851"/>
      <c r="R22" s="2917">
        <f>ROUND(M22*N22*O22*P22/10000,0)</f>
        <v>0</v>
      </c>
      <c r="S22" s="2913"/>
      <c r="T22" s="2913"/>
      <c r="U22" s="2913"/>
      <c r="V22" s="2840"/>
    </row>
    <row r="23" spans="1:22" s="2844" customFormat="1" ht="13.15" customHeight="1">
      <c r="A23" s="2922">
        <v>1</v>
      </c>
      <c r="B23" s="2923" t="s">
        <v>2403</v>
      </c>
      <c r="C23" s="2924">
        <f>D6</f>
        <v>0</v>
      </c>
      <c r="D23" s="2925">
        <f>C23*(1+D24)</f>
        <v>0</v>
      </c>
      <c r="E23" s="2926">
        <f>D23*(1+E24)</f>
        <v>0</v>
      </c>
      <c r="F23" s="2927"/>
      <c r="G23" s="2928"/>
      <c r="H23" s="2839"/>
      <c r="I23" s="2840"/>
      <c r="J23" s="3780"/>
      <c r="K23" s="3782"/>
      <c r="L23" s="2874" t="s">
        <v>2404</v>
      </c>
      <c r="M23" s="2875"/>
      <c r="N23" s="2875"/>
      <c r="O23" s="2876"/>
      <c r="P23" s="2877">
        <v>365</v>
      </c>
      <c r="Q23" s="2851"/>
      <c r="R23" s="2917">
        <f>ROUND(M23*N23*O23*P23/10000,0)</f>
        <v>0</v>
      </c>
      <c r="S23" s="2832"/>
      <c r="T23" s="2832"/>
      <c r="U23" s="2832"/>
      <c r="V23" s="2840"/>
    </row>
    <row r="24" spans="1:22" s="2844" customFormat="1" ht="13.15" customHeight="1">
      <c r="A24" s="2929"/>
      <c r="B24" s="2930" t="s">
        <v>2405</v>
      </c>
      <c r="C24" s="2931"/>
      <c r="D24" s="2932"/>
      <c r="E24" s="2933"/>
      <c r="F24" s="2934"/>
      <c r="G24" s="2928"/>
      <c r="H24" s="2839"/>
      <c r="I24" s="2840"/>
      <c r="J24" s="3780"/>
      <c r="K24" s="3783"/>
      <c r="L24" s="2894" t="s">
        <v>2366</v>
      </c>
      <c r="M24" s="2895">
        <f>SUM(M21:M23)</f>
        <v>0</v>
      </c>
      <c r="N24" s="2895"/>
      <c r="O24" s="2896"/>
      <c r="P24" s="2909" t="s">
        <v>2430</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2406</v>
      </c>
      <c r="L25" s="2937"/>
      <c r="M25" s="2937"/>
      <c r="N25" s="2937"/>
      <c r="O25" s="2937"/>
      <c r="P25" s="2938"/>
      <c r="Q25" s="2939">
        <v>0</v>
      </c>
      <c r="R25" s="2910">
        <f>ROUND(R14*Q25,0)</f>
        <v>0</v>
      </c>
      <c r="S25" s="2832"/>
      <c r="T25" s="2832"/>
      <c r="U25" s="2832"/>
      <c r="V25" s="2940"/>
    </row>
    <row r="26" spans="1:22" s="2941" customFormat="1" ht="13.15" customHeight="1">
      <c r="A26" s="2922">
        <v>2</v>
      </c>
      <c r="B26" s="2923" t="s">
        <v>2407</v>
      </c>
      <c r="C26" s="2924">
        <f>D7</f>
        <v>0</v>
      </c>
      <c r="D26" s="2925">
        <f>D23*D27</f>
        <v>0</v>
      </c>
      <c r="E26" s="2926">
        <f>E23*E27</f>
        <v>0</v>
      </c>
      <c r="F26" s="2927"/>
      <c r="G26" s="2928"/>
      <c r="H26" s="2839"/>
      <c r="I26" s="2840"/>
      <c r="J26" s="3790">
        <v>5</v>
      </c>
      <c r="K26" s="2942" t="s">
        <v>2408</v>
      </c>
      <c r="L26" s="2943"/>
      <c r="M26" s="2944"/>
      <c r="N26" s="2945" t="s">
        <v>2409</v>
      </c>
      <c r="O26" s="2945" t="s">
        <v>2410</v>
      </c>
      <c r="P26" s="2946" t="s">
        <v>2411</v>
      </c>
      <c r="Q26" s="2946" t="s">
        <v>2412</v>
      </c>
      <c r="R26" s="2849" t="s">
        <v>2337</v>
      </c>
      <c r="S26" s="2947"/>
      <c r="T26" s="2947"/>
      <c r="U26" s="2947"/>
      <c r="V26" s="2940"/>
    </row>
    <row r="27" spans="1:22" s="2844" customFormat="1" ht="13.15" customHeight="1">
      <c r="A27" s="2929"/>
      <c r="B27" s="2930" t="s">
        <v>2413</v>
      </c>
      <c r="C27" s="2948" t="e">
        <f>E7</f>
        <v>#DIV/0!</v>
      </c>
      <c r="D27" s="2932"/>
      <c r="E27" s="2933"/>
      <c r="F27" s="2934"/>
      <c r="G27" s="2928"/>
      <c r="H27" s="2949"/>
      <c r="I27" s="2940"/>
      <c r="J27" s="3791"/>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2414</v>
      </c>
      <c r="F28" s="2934"/>
      <c r="G28" s="2921"/>
      <c r="H28" s="2949"/>
      <c r="I28" s="2940"/>
      <c r="J28" s="2955">
        <v>6</v>
      </c>
      <c r="K28" s="2956" t="s">
        <v>2415</v>
      </c>
      <c r="L28" s="2957" t="s">
        <v>2416</v>
      </c>
      <c r="M28" s="2958"/>
      <c r="N28" s="2957" t="s">
        <v>2417</v>
      </c>
      <c r="O28" s="2959"/>
      <c r="P28" s="2957" t="s">
        <v>2418</v>
      </c>
      <c r="Q28" s="2960">
        <v>1.4999999999999999E-2</v>
      </c>
      <c r="R28" s="2961"/>
      <c r="S28" s="2913"/>
      <c r="T28" s="2913"/>
      <c r="U28" s="2913"/>
      <c r="V28" s="2940"/>
    </row>
    <row r="29" spans="1:22" s="2941" customFormat="1" ht="13.15" customHeight="1">
      <c r="A29" s="2922">
        <v>3</v>
      </c>
      <c r="B29" s="2923" t="s">
        <v>2419</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2413</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2420</v>
      </c>
      <c r="K31" s="2830"/>
      <c r="L31" s="2830"/>
      <c r="M31" s="2830"/>
      <c r="N31" s="2830"/>
      <c r="O31" s="2830"/>
      <c r="P31" s="2830"/>
      <c r="Q31" s="2830"/>
      <c r="R31" s="2831"/>
      <c r="S31" s="2913"/>
      <c r="T31" s="2832"/>
      <c r="U31" s="2832"/>
      <c r="V31" s="2940"/>
    </row>
    <row r="32" spans="1:22" s="2941" customFormat="1" ht="13.15" customHeight="1">
      <c r="A32" s="2922">
        <v>4</v>
      </c>
      <c r="B32" s="2923" t="s">
        <v>2421</v>
      </c>
      <c r="C32" s="2924">
        <f>C23-C26-C29</f>
        <v>0</v>
      </c>
      <c r="D32" s="2925">
        <f>D23-D26-D29</f>
        <v>0</v>
      </c>
      <c r="E32" s="2926">
        <f>E23-E26-E29</f>
        <v>0</v>
      </c>
      <c r="F32" s="2927"/>
      <c r="G32" s="2921"/>
      <c r="H32" s="2839"/>
      <c r="I32" s="2840"/>
      <c r="J32" s="3773" t="s">
        <v>2313</v>
      </c>
      <c r="K32" s="3774"/>
      <c r="L32" s="2841" t="s">
        <v>2314</v>
      </c>
      <c r="M32" s="2841" t="s">
        <v>2315</v>
      </c>
      <c r="N32" s="2841" t="s">
        <v>2316</v>
      </c>
      <c r="O32" s="2841" t="s">
        <v>2317</v>
      </c>
      <c r="P32" s="2841" t="s">
        <v>2318</v>
      </c>
      <c r="Q32" s="2842" t="s">
        <v>2319</v>
      </c>
      <c r="R32" s="2964" t="s">
        <v>2320</v>
      </c>
      <c r="S32" s="2913"/>
      <c r="T32" s="2832"/>
      <c r="U32" s="2832"/>
      <c r="V32" s="2940"/>
    </row>
    <row r="33" spans="1:23" s="2844" customFormat="1" ht="13.15" customHeight="1">
      <c r="A33" s="2922"/>
      <c r="B33" s="2923"/>
      <c r="C33" s="2924"/>
      <c r="D33" s="2965"/>
      <c r="E33" s="2966"/>
      <c r="F33" s="2927"/>
      <c r="G33" s="2921"/>
      <c r="H33" s="2949"/>
      <c r="I33" s="2940"/>
      <c r="J33" s="3775" t="s">
        <v>2323</v>
      </c>
      <c r="K33" s="3776"/>
      <c r="L33" s="2847"/>
      <c r="M33" s="2847"/>
      <c r="N33" s="2847"/>
      <c r="O33" s="2847"/>
      <c r="P33" s="2847"/>
      <c r="Q33" s="2848"/>
      <c r="R33" s="2967">
        <f>SUM(L33:Q33)</f>
        <v>0</v>
      </c>
      <c r="S33" s="2913"/>
      <c r="T33" s="2832"/>
      <c r="U33" s="2832"/>
      <c r="V33" s="2840"/>
    </row>
    <row r="34" spans="1:23" s="2844" customFormat="1" ht="13.15" customHeight="1">
      <c r="A34" s="2922">
        <v>5</v>
      </c>
      <c r="B34" s="2923" t="s">
        <v>2422</v>
      </c>
      <c r="C34" s="2968"/>
      <c r="D34" s="2969"/>
      <c r="E34" s="2970"/>
      <c r="F34" s="2927"/>
      <c r="G34" s="2921"/>
      <c r="H34" s="2949"/>
      <c r="I34" s="2940"/>
      <c r="J34" s="3775" t="s">
        <v>2325</v>
      </c>
      <c r="K34" s="3776"/>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2423</v>
      </c>
      <c r="C35" s="2972"/>
      <c r="D35" s="2973"/>
      <c r="E35" s="2974"/>
      <c r="F35" s="2927"/>
      <c r="G35" s="2975"/>
      <c r="H35" s="2839"/>
      <c r="I35" s="2940"/>
      <c r="J35" s="2858" t="s">
        <v>2327</v>
      </c>
      <c r="K35" s="2859"/>
      <c r="L35" s="2859"/>
      <c r="M35" s="2860"/>
      <c r="N35" s="2860"/>
      <c r="O35" s="2860"/>
      <c r="P35" s="2860"/>
      <c r="Q35" s="2860"/>
      <c r="R35" s="2976">
        <f>R40+R41+R43</f>
        <v>0</v>
      </c>
      <c r="S35" s="2913"/>
      <c r="T35" s="2832" t="s">
        <v>2328</v>
      </c>
      <c r="U35" s="2832"/>
      <c r="V35" s="2840"/>
    </row>
    <row r="36" spans="1:23" s="2844" customFormat="1" ht="13.15" customHeight="1" thickBot="1">
      <c r="A36" s="2922">
        <v>7</v>
      </c>
      <c r="B36" s="2977" t="s">
        <v>2424</v>
      </c>
      <c r="C36" s="2978"/>
      <c r="D36" s="2979"/>
      <c r="E36" s="2980"/>
      <c r="F36" s="2981">
        <f>C36+D36+E36</f>
        <v>0</v>
      </c>
      <c r="G36" s="2921"/>
      <c r="H36" s="2839"/>
      <c r="I36" s="2840"/>
      <c r="J36" s="3780">
        <v>1</v>
      </c>
      <c r="K36" s="3781" t="s">
        <v>2425</v>
      </c>
      <c r="L36" s="2865"/>
      <c r="M36" s="2866"/>
      <c r="N36" s="2866"/>
      <c r="O36" s="2866"/>
      <c r="P36" s="2866"/>
      <c r="Q36" s="2866"/>
      <c r="R36" s="2849" t="s">
        <v>2337</v>
      </c>
      <c r="S36" s="2913"/>
      <c r="T36" s="2832" t="s">
        <v>2338</v>
      </c>
      <c r="U36" s="2832"/>
      <c r="V36" s="2840"/>
    </row>
    <row r="37" spans="1:23" s="2844" customFormat="1" ht="13.15" customHeight="1">
      <c r="A37" s="2922"/>
      <c r="B37" s="2923"/>
      <c r="C37" s="2923"/>
      <c r="D37" s="2923"/>
      <c r="E37" s="2923"/>
      <c r="F37" s="2927"/>
      <c r="G37" s="2921"/>
      <c r="H37" s="2839"/>
      <c r="I37" s="2840"/>
      <c r="J37" s="3780"/>
      <c r="K37" s="3782"/>
      <c r="L37" s="2874"/>
      <c r="M37" s="2875"/>
      <c r="N37" s="2851"/>
      <c r="O37" s="2876"/>
      <c r="P37" s="2876"/>
      <c r="Q37" s="2877"/>
      <c r="R37" s="2878"/>
      <c r="S37" s="2913"/>
      <c r="T37" s="2832" t="s">
        <v>2341</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80"/>
      <c r="K38" s="3782"/>
      <c r="L38" s="2874"/>
      <c r="M38" s="2875"/>
      <c r="N38" s="2851"/>
      <c r="O38" s="2876"/>
      <c r="P38" s="2876"/>
      <c r="Q38" s="2877"/>
      <c r="R38" s="2878"/>
      <c r="S38" s="2913"/>
      <c r="T38" s="2832" t="s">
        <v>2348</v>
      </c>
      <c r="U38" s="2832"/>
      <c r="V38" s="2840"/>
    </row>
    <row r="39" spans="1:23" s="2844" customFormat="1" ht="13.15" customHeight="1">
      <c r="A39" s="2922">
        <v>9</v>
      </c>
      <c r="B39" s="2923" t="s">
        <v>2426</v>
      </c>
      <c r="C39" s="2888" t="e">
        <f>C38</f>
        <v>#DIV/0!</v>
      </c>
      <c r="D39" s="2923">
        <f>D38/(1+D34)^C36</f>
        <v>0</v>
      </c>
      <c r="E39" s="2923">
        <f>E38/(1+E34)^(C36+D36)</f>
        <v>0</v>
      </c>
      <c r="F39" s="2927"/>
      <c r="G39" s="2982"/>
      <c r="H39" s="2839"/>
      <c r="I39" s="2840"/>
      <c r="J39" s="3780"/>
      <c r="K39" s="3782"/>
      <c r="L39" s="2874"/>
      <c r="M39" s="2875"/>
      <c r="N39" s="2851"/>
      <c r="O39" s="2876"/>
      <c r="P39" s="2876"/>
      <c r="Q39" s="2877"/>
      <c r="R39" s="2878"/>
      <c r="S39" s="2913"/>
      <c r="T39" s="2832"/>
      <c r="U39" s="2832"/>
      <c r="V39" s="2840"/>
    </row>
    <row r="40" spans="1:23" s="2844" customFormat="1" ht="13.15" customHeight="1">
      <c r="A40" s="2983">
        <v>10</v>
      </c>
      <c r="B40" s="2923" t="s">
        <v>2427</v>
      </c>
      <c r="C40" s="2984" t="e">
        <f>C39+D39+E39</f>
        <v>#DIV/0!</v>
      </c>
      <c r="D40" s="2985"/>
      <c r="E40" s="2985"/>
      <c r="F40" s="2986"/>
      <c r="G40" s="2921"/>
      <c r="H40" s="2839"/>
      <c r="I40" s="2840"/>
      <c r="J40" s="3780"/>
      <c r="K40" s="3783"/>
      <c r="L40" s="2894" t="s">
        <v>2366</v>
      </c>
      <c r="M40" s="2895"/>
      <c r="N40" s="2895"/>
      <c r="O40" s="2896"/>
      <c r="P40" s="2896"/>
      <c r="Q40" s="2897"/>
      <c r="R40" s="2843">
        <f>SUM(R37:R39)</f>
        <v>0</v>
      </c>
      <c r="S40" s="2913"/>
      <c r="T40" s="2832"/>
      <c r="U40" s="2832"/>
      <c r="V40" s="2840"/>
    </row>
    <row r="41" spans="1:23" s="2844" customFormat="1" ht="13.15" customHeight="1" thickBot="1">
      <c r="A41" s="2987">
        <v>11</v>
      </c>
      <c r="B41" s="2988" t="s">
        <v>2428</v>
      </c>
      <c r="C41" s="2988" t="e">
        <f>ROUND(C40*10000/B4,0)</f>
        <v>#DIV/0!</v>
      </c>
      <c r="D41" s="2989"/>
      <c r="E41" s="2989"/>
      <c r="F41" s="2990"/>
      <c r="G41" s="2991"/>
      <c r="H41" s="2839"/>
      <c r="I41" s="2840"/>
      <c r="J41" s="2935">
        <v>2</v>
      </c>
      <c r="K41" s="2936" t="s">
        <v>2406</v>
      </c>
      <c r="L41" s="2937"/>
      <c r="M41" s="2937"/>
      <c r="N41" s="2937"/>
      <c r="O41" s="2937"/>
      <c r="P41" s="2938"/>
      <c r="Q41" s="2939"/>
      <c r="R41" s="2910">
        <f>ROUND(R40*Q41,0)</f>
        <v>0</v>
      </c>
      <c r="S41" s="2913"/>
      <c r="T41" s="2832"/>
      <c r="U41" s="2947"/>
      <c r="V41" s="2840"/>
    </row>
    <row r="42" spans="1:23" s="2844" customFormat="1" ht="13.15" customHeight="1">
      <c r="G42" s="2991"/>
      <c r="H42" s="2839"/>
      <c r="I42" s="2840"/>
      <c r="J42" s="3790">
        <v>3</v>
      </c>
      <c r="K42" s="2942" t="s">
        <v>2408</v>
      </c>
      <c r="L42" s="2943"/>
      <c r="M42" s="2944"/>
      <c r="N42" s="2945" t="s">
        <v>2409</v>
      </c>
      <c r="O42" s="2945" t="s">
        <v>2410</v>
      </c>
      <c r="P42" s="2946" t="s">
        <v>2411</v>
      </c>
      <c r="Q42" s="2946" t="s">
        <v>2412</v>
      </c>
      <c r="R42" s="2849" t="s">
        <v>2337</v>
      </c>
      <c r="S42" s="2947"/>
      <c r="T42" s="2947"/>
      <c r="U42" s="2832"/>
      <c r="V42" s="2840"/>
    </row>
    <row r="43" spans="1:23" ht="13.15" customHeight="1">
      <c r="A43" s="2844"/>
      <c r="B43" s="2844"/>
      <c r="C43" s="2844"/>
      <c r="D43" s="2844"/>
      <c r="E43" s="2844"/>
      <c r="F43" s="2844"/>
      <c r="I43" s="2827"/>
      <c r="J43" s="3791"/>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2415</v>
      </c>
      <c r="L44" s="2995" t="s">
        <v>2416</v>
      </c>
      <c r="M44" s="2958"/>
      <c r="N44" s="2995" t="s">
        <v>2417</v>
      </c>
      <c r="O44" s="2958"/>
      <c r="P44" s="2995" t="s">
        <v>2418</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698"/>
      <c r="G1" s="1486"/>
      <c r="H1" s="1486"/>
      <c r="I1" s="1486"/>
      <c r="J1" s="1486"/>
      <c r="K1" s="1486"/>
      <c r="L1" s="1486"/>
      <c r="M1" s="1486"/>
      <c r="N1" s="1486"/>
      <c r="O1" s="1486"/>
      <c r="P1" s="1486"/>
      <c r="Q1" s="1486"/>
      <c r="R1" s="1486"/>
      <c r="S1" s="1486"/>
    </row>
    <row r="2" spans="1:22" ht="15.75">
      <c r="A2" s="1867" t="s">
        <v>1459</v>
      </c>
      <c r="B2" s="1868">
        <f ca="1">SUMIF(B6:B13,"&lt;&gt;#ref!",B6:B13)</f>
        <v>9522</v>
      </c>
      <c r="C2" s="1869" t="s">
        <v>1648</v>
      </c>
      <c r="D2" s="1870" t="s">
        <v>1649</v>
      </c>
      <c r="E2" s="2598">
        <f>SUM(E6:E13)</f>
        <v>42521.18</v>
      </c>
      <c r="F2" s="2698"/>
      <c r="G2" s="1486"/>
      <c r="H2" s="1486"/>
      <c r="I2" s="1486"/>
      <c r="J2" s="1486"/>
      <c r="K2" s="1486"/>
      <c r="L2" s="1486"/>
      <c r="M2" s="1486"/>
      <c r="N2" s="1486"/>
      <c r="O2" s="1486"/>
      <c r="P2" s="1486"/>
      <c r="Q2" s="1486"/>
      <c r="R2" s="1486"/>
      <c r="S2" s="1486"/>
    </row>
    <row r="3" spans="1:22" ht="15.75">
      <c r="A3" s="1867" t="s">
        <v>686</v>
      </c>
      <c r="B3" s="2592">
        <f ca="1">ROUND(B2*10000/E2,0)</f>
        <v>2239</v>
      </c>
      <c r="C3" s="1869" t="s">
        <v>1656</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1650</v>
      </c>
      <c r="B5" s="3792" t="s">
        <v>1651</v>
      </c>
      <c r="C5" s="3793"/>
      <c r="D5" s="2699"/>
      <c r="E5" s="1871" t="s">
        <v>1652</v>
      </c>
      <c r="F5" s="1872" t="s">
        <v>1653</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1648</v>
      </c>
      <c r="D6" s="2700"/>
      <c r="E6" s="2597">
        <f>IF(OR(A6=0,F6="否"),0,'数据-取费表'!K6+'数据-取费表'!S6)</f>
        <v>0</v>
      </c>
      <c r="F6" s="1873" t="s">
        <v>1654</v>
      </c>
      <c r="G6" s="1486"/>
      <c r="H6" s="1486"/>
      <c r="I6" s="1486"/>
      <c r="J6" s="1486"/>
      <c r="K6" s="1486"/>
      <c r="L6" s="1486"/>
      <c r="M6" s="1486"/>
      <c r="N6" s="1486"/>
      <c r="O6" s="1486"/>
      <c r="P6" s="1486"/>
      <c r="Q6" s="1486"/>
      <c r="R6" s="1486"/>
      <c r="S6" s="1486"/>
    </row>
    <row r="7" spans="1:22">
      <c r="A7" s="2595" t="str">
        <f>'数据-取费表'!AN7</f>
        <v>收益法2</v>
      </c>
      <c r="B7" s="2593">
        <f ca="1">IF(F7="是",'数据-取费表'!AO7,0)</f>
        <v>3770</v>
      </c>
      <c r="C7" s="1869" t="s">
        <v>1648</v>
      </c>
      <c r="D7" s="2700"/>
      <c r="E7" s="2597">
        <f>IF(OR(A7=0,F7="否"),0,'数据-取费表'!K7+'数据-取费表'!S7)</f>
        <v>8732.2199999999993</v>
      </c>
      <c r="F7" s="1873" t="s">
        <v>1654</v>
      </c>
      <c r="G7" s="1486"/>
      <c r="H7" s="1486"/>
      <c r="I7" s="1486"/>
      <c r="J7" s="1486"/>
      <c r="K7" s="1486"/>
      <c r="L7" s="1486"/>
      <c r="M7" s="1486"/>
      <c r="N7" s="1486"/>
      <c r="O7" s="1486"/>
      <c r="P7" s="1486"/>
      <c r="Q7" s="1486"/>
      <c r="R7" s="1486"/>
      <c r="S7" s="1486"/>
    </row>
    <row r="8" spans="1:22">
      <c r="A8" s="2595" t="str">
        <f>'数据-取费表'!AN8</f>
        <v>收益法</v>
      </c>
      <c r="B8" s="2593">
        <f ca="1">IF(F8="是",'数据-取费表'!AO8,0)</f>
        <v>5752</v>
      </c>
      <c r="C8" s="1869" t="s">
        <v>1648</v>
      </c>
      <c r="D8" s="2700"/>
      <c r="E8" s="2597">
        <f>IF(OR(A8=0,F8="否"),0,'数据-取费表'!K8+'数据-取费表'!S8)</f>
        <v>33788.959999999999</v>
      </c>
      <c r="F8" s="1873" t="s">
        <v>1654</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1648</v>
      </c>
      <c r="D9" s="2700"/>
      <c r="E9" s="2597">
        <f>IF(OR(A9=0,F9="否"),0,'数据-取费表'!K9+'数据-取费表'!S9)</f>
        <v>0</v>
      </c>
      <c r="F9" s="1873" t="s">
        <v>1654</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1648</v>
      </c>
      <c r="D10" s="2700"/>
      <c r="E10" s="2597">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1648</v>
      </c>
      <c r="D11" s="2700"/>
      <c r="E11" s="2597">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1648</v>
      </c>
      <c r="D12" s="2700"/>
      <c r="E12" s="2597">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1648</v>
      </c>
      <c r="D13" s="2701"/>
      <c r="E13" s="2597">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17"/>
      <c r="F1" s="1876"/>
      <c r="G1" s="1232" t="s">
        <v>1764</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1459</v>
      </c>
      <c r="B2" s="1164" t="b">
        <f>IF(E1="项目模式",IF(C2="——",ROUND(C49*D3/10000,0),ROUND(C49*D3/10000,0)-D2),IF(E1="单套模式",IF(C2="——",ROUND(C49*D3/10000,4),ROUND(C49*D3/10000,4)-D2)))</f>
        <v>0</v>
      </c>
      <c r="C2" s="1878"/>
      <c r="D2" s="1115" t="e">
        <f ca="1">IF(E1="项目模式",SUMIF(INDIRECT("'"&amp;F2&amp;"'"&amp;"!A:A"),"承租人权益价值",INDIRECT("'"&amp;F2&amp;"'"&amp;"!c:c")),SUMIF(INDIRECT("'"&amp;F2&amp;"'"&amp;"!A:A"),"承租人权益价值（单套）",INDIRECT("'"&amp;F2&amp;"'"&amp;"!c:c")))</f>
        <v>#REF!</v>
      </c>
      <c r="E2" s="1879" t="s">
        <v>1460</v>
      </c>
      <c r="F2" s="1880"/>
      <c r="G2" s="908"/>
      <c r="H2" s="908"/>
      <c r="I2" s="908"/>
      <c r="J2" s="908"/>
      <c r="K2" s="908"/>
      <c r="L2" s="2725"/>
      <c r="M2" s="2726"/>
      <c r="N2" s="2726"/>
      <c r="O2" s="2726"/>
      <c r="P2" s="1946"/>
      <c r="Q2" s="912"/>
      <c r="R2" s="912"/>
      <c r="S2" s="912"/>
      <c r="T2" s="912"/>
      <c r="U2" s="912"/>
      <c r="V2" s="912"/>
      <c r="W2" s="912"/>
      <c r="X2" s="912"/>
      <c r="Y2" s="912"/>
      <c r="Z2" s="912"/>
      <c r="AA2" s="912"/>
      <c r="AB2" s="912"/>
      <c r="AC2" s="1947"/>
    </row>
    <row r="3" spans="1:29" s="352" customFormat="1" ht="28.5" customHeight="1" thickBot="1">
      <c r="A3" s="203" t="s">
        <v>1461</v>
      </c>
      <c r="B3" s="558">
        <f>IF(C2="——",C49,ROUND(B2*10000/D3,0))</f>
        <v>0</v>
      </c>
      <c r="C3" s="354" t="s">
        <v>1765</v>
      </c>
      <c r="D3" s="353">
        <f>IF(D1="",'数据-汇总表'!E3,SUMIF('数据-汇总表'!$C19:$C33,D1,'数据-汇总表'!$E19:$E33))</f>
        <v>155268.5</v>
      </c>
      <c r="E3" s="1948"/>
      <c r="F3" s="909"/>
      <c r="G3" s="908"/>
      <c r="H3" s="908"/>
      <c r="I3" s="908"/>
      <c r="J3" s="908"/>
      <c r="K3" s="910"/>
      <c r="L3" s="2725"/>
      <c r="M3" s="2726"/>
      <c r="N3" s="2726"/>
      <c r="O3" s="2726"/>
      <c r="P3" s="1946"/>
      <c r="Q3" s="912"/>
      <c r="R3" s="912"/>
      <c r="S3" s="912"/>
      <c r="T3" s="912"/>
      <c r="U3" s="912"/>
      <c r="V3" s="912"/>
      <c r="W3" s="912"/>
      <c r="X3" s="912"/>
      <c r="Y3" s="912"/>
      <c r="Z3" s="912"/>
      <c r="AA3" s="912"/>
      <c r="AB3" s="912"/>
      <c r="AC3" s="1948"/>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35" t="s">
        <v>1769</v>
      </c>
      <c r="AC4" s="3703" t="s">
        <v>1770</v>
      </c>
    </row>
    <row r="5" spans="1:29" ht="15">
      <c r="A5" s="358"/>
      <c r="B5" s="359"/>
      <c r="C5" s="3714" t="s">
        <v>1670</v>
      </c>
      <c r="D5" s="3715"/>
      <c r="E5" s="3747" t="s">
        <v>1671</v>
      </c>
      <c r="F5" s="3748"/>
      <c r="G5" s="3714" t="s">
        <v>1672</v>
      </c>
      <c r="H5" s="3715"/>
      <c r="I5" s="3714" t="s">
        <v>1673</v>
      </c>
      <c r="J5" s="3715"/>
      <c r="K5" s="559"/>
      <c r="L5" s="2706"/>
      <c r="M5" s="2707"/>
      <c r="N5" s="2707"/>
      <c r="O5" s="2707"/>
      <c r="P5" s="3729"/>
      <c r="Q5" s="3730"/>
      <c r="R5" s="3710"/>
      <c r="S5" s="3711"/>
      <c r="T5" s="3710"/>
      <c r="U5" s="3711"/>
      <c r="V5" s="3735"/>
      <c r="W5" s="3735"/>
      <c r="X5" s="1352"/>
      <c r="Y5" s="3710"/>
      <c r="Z5" s="3711"/>
      <c r="AA5" s="3704"/>
      <c r="AB5" s="3735"/>
      <c r="AC5" s="3704"/>
    </row>
    <row r="6" spans="1:29" ht="15.75" thickBot="1">
      <c r="A6" s="360"/>
      <c r="B6" s="361"/>
      <c r="C6" s="3758" t="s">
        <v>1674</v>
      </c>
      <c r="D6" s="3717"/>
      <c r="E6" s="3759" t="s">
        <v>1674</v>
      </c>
      <c r="F6" s="3721"/>
      <c r="G6" s="3758" t="s">
        <v>1674</v>
      </c>
      <c r="H6" s="3717"/>
      <c r="I6" s="3758" t="s">
        <v>1674</v>
      </c>
      <c r="J6" s="3717"/>
      <c r="K6" s="559" t="s">
        <v>1675</v>
      </c>
      <c r="L6" s="2706"/>
      <c r="M6" s="2707"/>
      <c r="N6" s="2707"/>
      <c r="O6" s="2707"/>
      <c r="P6" s="3731"/>
      <c r="Q6" s="3732"/>
      <c r="R6" s="3710"/>
      <c r="S6" s="3711"/>
      <c r="T6" s="3733"/>
      <c r="U6" s="3734"/>
      <c r="V6" s="3735"/>
      <c r="W6" s="3735"/>
      <c r="X6" s="1352"/>
      <c r="Y6" s="3733"/>
      <c r="Z6" s="3734"/>
      <c r="AA6" s="3705"/>
      <c r="AB6" s="3735"/>
      <c r="AC6" s="3705"/>
    </row>
    <row r="7" spans="1:29" s="108" customFormat="1" ht="15.75" thickBot="1">
      <c r="A7" s="362" t="s">
        <v>1676</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08"/>
      <c r="M7" s="2709"/>
      <c r="N7" s="2709"/>
      <c r="O7" s="2709"/>
      <c r="P7" s="3706" t="s">
        <v>1677</v>
      </c>
      <c r="Q7" s="3736"/>
      <c r="R7" s="701" t="s">
        <v>14</v>
      </c>
      <c r="S7" s="702">
        <f t="shared" ref="S7:S15" si="0">F7</f>
        <v>0</v>
      </c>
      <c r="T7" s="701" t="s">
        <v>14</v>
      </c>
      <c r="U7" s="702">
        <f t="shared" ref="U7:U15" si="1">H7</f>
        <v>0</v>
      </c>
      <c r="V7" s="701" t="s">
        <v>14</v>
      </c>
      <c r="W7" s="702">
        <f t="shared" ref="W7:W15" si="2">J7</f>
        <v>0</v>
      </c>
      <c r="X7" s="703"/>
      <c r="Y7" s="3706" t="s">
        <v>1677</v>
      </c>
      <c r="Z7" s="3707"/>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08"/>
      <c r="M9" s="2709"/>
      <c r="N9" s="2709"/>
      <c r="O9" s="2709"/>
      <c r="P9" s="3746"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560"/>
      <c r="L10" s="2710"/>
      <c r="M10" s="2711"/>
      <c r="N10" s="2711"/>
      <c r="O10" s="2711"/>
      <c r="P10" s="3746"/>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2"/>
      <c r="M11" s="2707"/>
      <c r="N11" s="2707"/>
      <c r="O11" s="2707"/>
      <c r="P11" s="3746"/>
      <c r="Q11" s="1340" t="str">
        <f t="shared" si="6"/>
        <v>容积率</v>
      </c>
      <c r="R11" s="701" t="s">
        <v>14</v>
      </c>
      <c r="S11" s="702" t="e">
        <f t="shared" si="0"/>
        <v>#N/A</v>
      </c>
      <c r="T11" s="701" t="s">
        <v>14</v>
      </c>
      <c r="U11" s="702" t="e">
        <f t="shared" si="1"/>
        <v>#N/A</v>
      </c>
      <c r="V11" s="701" t="s">
        <v>14</v>
      </c>
      <c r="W11" s="702" t="e">
        <f t="shared" si="2"/>
        <v>#N/A</v>
      </c>
      <c r="X11" s="703"/>
      <c r="Y11" s="3679"/>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08"/>
      <c r="M12" s="2709"/>
      <c r="N12" s="2709"/>
      <c r="O12" s="2709"/>
      <c r="P12" s="3746"/>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3"/>
      <c r="M13" s="2707"/>
      <c r="N13" s="2707"/>
      <c r="O13" s="2707"/>
      <c r="P13" s="3746"/>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3"/>
      <c r="M14" s="2707"/>
      <c r="N14" s="2707"/>
      <c r="O14" s="2707"/>
      <c r="P14" s="3746"/>
      <c r="Q14" s="1340">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15">
      <c r="A15" s="391" t="s">
        <v>1687</v>
      </c>
      <c r="B15" s="61" t="s">
        <v>1774</v>
      </c>
      <c r="C15" s="1892">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3"/>
      <c r="M15" s="2707"/>
      <c r="N15" s="2707"/>
      <c r="O15" s="2707"/>
      <c r="P15" s="3766" t="s">
        <v>1688</v>
      </c>
      <c r="Q15" s="1349" t="str">
        <f t="shared" si="6"/>
        <v>商业繁华度</v>
      </c>
      <c r="R15" s="705" t="s">
        <v>14</v>
      </c>
      <c r="S15" s="706">
        <f t="shared" si="0"/>
        <v>100</v>
      </c>
      <c r="T15" s="705" t="s">
        <v>14</v>
      </c>
      <c r="U15" s="706">
        <f t="shared" si="1"/>
        <v>100</v>
      </c>
      <c r="V15" s="705" t="s">
        <v>14</v>
      </c>
      <c r="W15" s="706">
        <f t="shared" si="2"/>
        <v>100</v>
      </c>
      <c r="X15" s="1352"/>
      <c r="Y15" s="3737"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3"/>
      <c r="M16" s="2707"/>
      <c r="N16" s="2707"/>
      <c r="O16" s="2707"/>
      <c r="P16" s="3767"/>
      <c r="Q16" s="1349"/>
      <c r="R16" s="705"/>
      <c r="S16" s="706"/>
      <c r="T16" s="705"/>
      <c r="U16" s="706"/>
      <c r="V16" s="705"/>
      <c r="W16" s="706"/>
      <c r="X16" s="1352"/>
      <c r="Y16" s="3738"/>
      <c r="Z16" s="1353"/>
      <c r="AA16" s="1350">
        <v>1</v>
      </c>
      <c r="AB16" s="1350">
        <v>1</v>
      </c>
      <c r="AC16" s="1350">
        <v>1</v>
      </c>
    </row>
    <row r="17" spans="1:29" ht="15">
      <c r="A17" s="379"/>
      <c r="B17" s="402" t="s">
        <v>1259</v>
      </c>
      <c r="C17" s="1896" t="str">
        <f>估价对象房地状况!C6</f>
        <v>较差</v>
      </c>
      <c r="D17" s="401">
        <v>100</v>
      </c>
      <c r="E17" s="403"/>
      <c r="F17" s="404">
        <f>SUMIF(78:78,E18,79:79)-SUMIF(78:78,C18,79:79)+100</f>
        <v>100</v>
      </c>
      <c r="G17" s="405"/>
      <c r="H17" s="406">
        <f>SUMIF(78:78,G18,79:79)-SUMIF(78:78,C18,79:79)+100</f>
        <v>100</v>
      </c>
      <c r="I17" s="403"/>
      <c r="J17" s="406">
        <f>SUMIF(78:78,I18,79:79)-SUMIF(78:78,C18,79:79)+100</f>
        <v>100</v>
      </c>
      <c r="K17" s="563"/>
      <c r="L17" s="2713"/>
      <c r="M17" s="2707"/>
      <c r="N17" s="2707"/>
      <c r="O17" s="2707"/>
      <c r="P17" s="3767"/>
      <c r="Q17" s="1349" t="str">
        <f>B17</f>
        <v>交通便捷度</v>
      </c>
      <c r="R17" s="705" t="s">
        <v>14</v>
      </c>
      <c r="S17" s="706">
        <f>F17</f>
        <v>100</v>
      </c>
      <c r="T17" s="705" t="s">
        <v>14</v>
      </c>
      <c r="U17" s="706">
        <f>H17</f>
        <v>100</v>
      </c>
      <c r="V17" s="705" t="s">
        <v>14</v>
      </c>
      <c r="W17" s="706">
        <f>J17</f>
        <v>100</v>
      </c>
      <c r="X17" s="1352"/>
      <c r="Y17" s="373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3"/>
      <c r="M18" s="2707"/>
      <c r="N18" s="2707"/>
      <c r="O18" s="2707"/>
      <c r="P18" s="3767"/>
      <c r="Q18" s="1349"/>
      <c r="R18" s="705"/>
      <c r="S18" s="706"/>
      <c r="T18" s="705"/>
      <c r="U18" s="706"/>
      <c r="V18" s="705"/>
      <c r="W18" s="706"/>
      <c r="X18" s="1352"/>
      <c r="Y18" s="3738"/>
      <c r="Z18" s="1353"/>
      <c r="AA18" s="1350">
        <v>1</v>
      </c>
      <c r="AB18" s="1350">
        <v>1</v>
      </c>
      <c r="AC18" s="1350">
        <v>1</v>
      </c>
    </row>
    <row r="19" spans="1:29" ht="15">
      <c r="A19" s="379"/>
      <c r="B19" s="402" t="s">
        <v>1775</v>
      </c>
      <c r="C19" s="1896" t="str">
        <f>估价对象房地状况!C7</f>
        <v>较差</v>
      </c>
      <c r="D19" s="406">
        <v>100</v>
      </c>
      <c r="E19" s="408"/>
      <c r="F19" s="409">
        <f>SUMIF(80:80,E20,81:81)-SUMIF(80:80,C20,81:81)+100</f>
        <v>100</v>
      </c>
      <c r="G19" s="410"/>
      <c r="H19" s="401">
        <f>SUMIF(80:80,G20,81:81)-SUMIF(80:80,C20,81:81)+100</f>
        <v>100</v>
      </c>
      <c r="I19" s="408"/>
      <c r="J19" s="401">
        <f>SUMIF(80:80,I20,81:81)-SUMIF(80:80,C20,81:81)+100</f>
        <v>100</v>
      </c>
      <c r="K19" s="563"/>
      <c r="L19" s="2713"/>
      <c r="M19" s="2707"/>
      <c r="N19" s="2707"/>
      <c r="O19" s="2707"/>
      <c r="P19" s="3767"/>
      <c r="Q19" s="1349" t="str">
        <f>B19</f>
        <v>公共配套设施</v>
      </c>
      <c r="R19" s="705" t="s">
        <v>14</v>
      </c>
      <c r="S19" s="706">
        <f>F19</f>
        <v>100</v>
      </c>
      <c r="T19" s="705" t="s">
        <v>14</v>
      </c>
      <c r="U19" s="706">
        <f>H19</f>
        <v>100</v>
      </c>
      <c r="V19" s="705" t="s">
        <v>14</v>
      </c>
      <c r="W19" s="706">
        <f>J19</f>
        <v>100</v>
      </c>
      <c r="X19" s="1352"/>
      <c r="Y19" s="373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3"/>
      <c r="M20" s="2707"/>
      <c r="N20" s="2707"/>
      <c r="O20" s="2707"/>
      <c r="P20" s="3767"/>
      <c r="Q20" s="1349"/>
      <c r="R20" s="705"/>
      <c r="S20" s="706"/>
      <c r="T20" s="705"/>
      <c r="U20" s="706"/>
      <c r="V20" s="705"/>
      <c r="W20" s="706"/>
      <c r="X20" s="1352"/>
      <c r="Y20" s="3738"/>
      <c r="Z20" s="1353"/>
      <c r="AA20" s="1350">
        <v>1</v>
      </c>
      <c r="AB20" s="1350">
        <v>1</v>
      </c>
      <c r="AC20" s="1350">
        <v>1</v>
      </c>
    </row>
    <row r="21" spans="1:29" ht="15">
      <c r="A21" s="379"/>
      <c r="B21" s="1131" t="s">
        <v>1776</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3"/>
      <c r="M21" s="2707"/>
      <c r="N21" s="2707"/>
      <c r="O21" s="2707"/>
      <c r="P21" s="3767"/>
      <c r="Q21" s="1349" t="str">
        <f>B21</f>
        <v>基础设施水平</v>
      </c>
      <c r="R21" s="705" t="s">
        <v>14</v>
      </c>
      <c r="S21" s="706">
        <f>F21</f>
        <v>100</v>
      </c>
      <c r="T21" s="705" t="s">
        <v>14</v>
      </c>
      <c r="U21" s="706">
        <f>H21</f>
        <v>100</v>
      </c>
      <c r="V21" s="705" t="s">
        <v>14</v>
      </c>
      <c r="W21" s="706">
        <f>J21</f>
        <v>100</v>
      </c>
      <c r="X21" s="1352"/>
      <c r="Y21" s="3738"/>
      <c r="Z21" s="1353" t="str">
        <f>Q21</f>
        <v>基础设施水平</v>
      </c>
      <c r="AA21" s="1350">
        <f t="shared" ref="AA21" si="8">D21/F21</f>
        <v>1</v>
      </c>
      <c r="AB21" s="1350">
        <f t="shared" ref="AB21" si="9">D21/H21</f>
        <v>1</v>
      </c>
      <c r="AC21" s="1350">
        <f t="shared" ref="AC21" si="10">D21/J21</f>
        <v>1</v>
      </c>
    </row>
    <row r="22" spans="1:29" ht="15">
      <c r="A22" s="379"/>
      <c r="B22" s="1131"/>
      <c r="C22" s="1897"/>
      <c r="D22" s="399"/>
      <c r="E22" s="398"/>
      <c r="F22" s="400"/>
      <c r="G22" s="398"/>
      <c r="H22" s="399"/>
      <c r="I22" s="398"/>
      <c r="J22" s="399"/>
      <c r="K22" s="1130"/>
      <c r="L22" s="2713"/>
      <c r="M22" s="2707"/>
      <c r="N22" s="2707"/>
      <c r="O22" s="2707"/>
      <c r="P22" s="3767"/>
      <c r="Q22" s="1349"/>
      <c r="R22" s="705"/>
      <c r="S22" s="706"/>
      <c r="T22" s="705"/>
      <c r="U22" s="706"/>
      <c r="V22" s="705"/>
      <c r="W22" s="706"/>
      <c r="X22" s="1352"/>
      <c r="Y22" s="3738"/>
      <c r="Z22" s="1353"/>
      <c r="AA22" s="1350">
        <v>1</v>
      </c>
      <c r="AB22" s="1350">
        <v>1</v>
      </c>
      <c r="AC22" s="1350">
        <v>1</v>
      </c>
    </row>
    <row r="23" spans="1:29" ht="15">
      <c r="A23" s="379"/>
      <c r="B23" s="402" t="s">
        <v>1261</v>
      </c>
      <c r="C23" s="1949"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3"/>
      <c r="M23" s="2707"/>
      <c r="N23" s="2707"/>
      <c r="O23" s="2707"/>
      <c r="P23" s="3767"/>
      <c r="Q23" s="1349" t="str">
        <f>B23</f>
        <v>自然及人文环境</v>
      </c>
      <c r="R23" s="705" t="s">
        <v>14</v>
      </c>
      <c r="S23" s="706">
        <f>F23</f>
        <v>100</v>
      </c>
      <c r="T23" s="705" t="s">
        <v>14</v>
      </c>
      <c r="U23" s="706">
        <f>H23</f>
        <v>100</v>
      </c>
      <c r="V23" s="705" t="s">
        <v>14</v>
      </c>
      <c r="W23" s="706">
        <f>J23</f>
        <v>100</v>
      </c>
      <c r="X23" s="1352"/>
      <c r="Y23" s="3738"/>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3"/>
      <c r="M24" s="2707"/>
      <c r="N24" s="2707"/>
      <c r="O24" s="2707"/>
      <c r="P24" s="3767"/>
      <c r="Q24" s="1349"/>
      <c r="R24" s="705"/>
      <c r="S24" s="706"/>
      <c r="T24" s="705"/>
      <c r="U24" s="706"/>
      <c r="V24" s="705"/>
      <c r="W24" s="706"/>
      <c r="X24" s="1352"/>
      <c r="Y24" s="3738"/>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3"/>
      <c r="M25" s="2707"/>
      <c r="N25" s="2707"/>
      <c r="O25" s="2707"/>
      <c r="P25" s="3767"/>
      <c r="Q25" s="1349" t="str">
        <f t="shared" ref="Q25:Q46" si="11">B25</f>
        <v>临街状况</v>
      </c>
      <c r="R25" s="705" t="s">
        <v>14</v>
      </c>
      <c r="S25" s="706">
        <f>F25</f>
        <v>100</v>
      </c>
      <c r="T25" s="705" t="s">
        <v>14</v>
      </c>
      <c r="U25" s="706">
        <f>H25</f>
        <v>100</v>
      </c>
      <c r="V25" s="705" t="s">
        <v>14</v>
      </c>
      <c r="W25" s="706">
        <f>J25</f>
        <v>100</v>
      </c>
      <c r="X25" s="1352"/>
      <c r="Y25" s="3738"/>
      <c r="Z25" s="1353" t="str">
        <f>Q25</f>
        <v>临街状况</v>
      </c>
      <c r="AA25" s="1350">
        <f t="shared" si="3"/>
        <v>1</v>
      </c>
      <c r="AB25" s="1350">
        <f t="shared" si="4"/>
        <v>1</v>
      </c>
      <c r="AC25" s="1350">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13"/>
      <c r="M26" s="2707"/>
      <c r="N26" s="2707"/>
      <c r="O26" s="2707"/>
      <c r="P26" s="3767"/>
      <c r="Q26" s="1349" t="str">
        <f t="shared" si="11"/>
        <v>平面位置/可视性</v>
      </c>
      <c r="R26" s="705" t="s">
        <v>14</v>
      </c>
      <c r="S26" s="706">
        <f>F26</f>
        <v>100</v>
      </c>
      <c r="T26" s="705" t="s">
        <v>14</v>
      </c>
      <c r="U26" s="706">
        <f>H26</f>
        <v>100</v>
      </c>
      <c r="V26" s="705" t="s">
        <v>14</v>
      </c>
      <c r="W26" s="706">
        <f>J26</f>
        <v>100</v>
      </c>
      <c r="X26" s="1352"/>
      <c r="Y26" s="3738"/>
      <c r="Z26" s="1353" t="str">
        <f>Q26</f>
        <v>平面位置/可视性</v>
      </c>
      <c r="AA26" s="1350">
        <f t="shared" si="3"/>
        <v>1</v>
      </c>
      <c r="AB26" s="1350">
        <f t="shared" si="4"/>
        <v>1</v>
      </c>
      <c r="AC26" s="1350">
        <f t="shared" si="5"/>
        <v>1</v>
      </c>
    </row>
    <row r="27" spans="1:29" s="108" customFormat="1" ht="15">
      <c r="A27" s="382"/>
      <c r="B27" s="402" t="s">
        <v>1779</v>
      </c>
      <c r="C27" s="1950"/>
      <c r="D27" s="413">
        <v>100</v>
      </c>
      <c r="E27" s="1950"/>
      <c r="F27" s="415">
        <f>SUMIF(90:90,E27,91:91)-SUMIF(90:90,C27,91:91)+100</f>
        <v>100</v>
      </c>
      <c r="G27" s="1950"/>
      <c r="H27" s="413">
        <f>SUMIF(90:90,G27,91:91)-SUMIF(90:90,C27,91:91)+100</f>
        <v>100</v>
      </c>
      <c r="I27" s="1950"/>
      <c r="J27" s="413">
        <f>SUMIF(90:90,I27,91:91)-SUMIF(90:90,C27,91:91)+100</f>
        <v>100</v>
      </c>
      <c r="K27" s="561"/>
      <c r="L27" s="2708"/>
      <c r="M27" s="2709"/>
      <c r="N27" s="2709"/>
      <c r="O27" s="2709"/>
      <c r="P27" s="3767"/>
      <c r="Q27" s="1340" t="str">
        <f t="shared" si="11"/>
        <v>人流量</v>
      </c>
      <c r="R27" s="701" t="s">
        <v>14</v>
      </c>
      <c r="S27" s="702">
        <f>F27</f>
        <v>100</v>
      </c>
      <c r="T27" s="701" t="s">
        <v>14</v>
      </c>
      <c r="U27" s="702">
        <f>H27</f>
        <v>100</v>
      </c>
      <c r="V27" s="701" t="s">
        <v>14</v>
      </c>
      <c r="W27" s="702">
        <f>J27</f>
        <v>100</v>
      </c>
      <c r="X27" s="703"/>
      <c r="Y27" s="3738"/>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3"/>
      <c r="M28" s="2707"/>
      <c r="N28" s="2707"/>
      <c r="O28" s="2707"/>
      <c r="P28" s="3767"/>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38"/>
      <c r="Z28" s="1353" t="str">
        <f t="shared" ref="Z28:Z46" si="15">Q28</f>
        <v>楼层</v>
      </c>
      <c r="AA28" s="1350">
        <f t="shared" si="3"/>
        <v>1</v>
      </c>
      <c r="AB28" s="1350">
        <f t="shared" si="4"/>
        <v>1</v>
      </c>
      <c r="AC28" s="1350">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3"/>
      <c r="M29" s="2707"/>
      <c r="N29" s="2707"/>
      <c r="O29" s="2707"/>
      <c r="P29" s="3767"/>
      <c r="Q29" s="1349">
        <f t="shared" si="11"/>
        <v>111</v>
      </c>
      <c r="R29" s="705" t="s">
        <v>14</v>
      </c>
      <c r="S29" s="706">
        <f t="shared" si="12"/>
        <v>100</v>
      </c>
      <c r="T29" s="705" t="s">
        <v>14</v>
      </c>
      <c r="U29" s="706">
        <f t="shared" si="13"/>
        <v>100</v>
      </c>
      <c r="V29" s="705" t="s">
        <v>14</v>
      </c>
      <c r="W29" s="706">
        <f t="shared" si="14"/>
        <v>100</v>
      </c>
      <c r="X29" s="1352"/>
      <c r="Y29" s="3738"/>
      <c r="Z29" s="1353">
        <f t="shared" si="15"/>
        <v>111</v>
      </c>
      <c r="AA29" s="1350">
        <f t="shared" si="3"/>
        <v>1</v>
      </c>
      <c r="AB29" s="1350">
        <f t="shared" si="4"/>
        <v>1</v>
      </c>
      <c r="AC29" s="1350">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3"/>
      <c r="M30" s="2707"/>
      <c r="N30" s="2707"/>
      <c r="O30" s="2707"/>
      <c r="P30" s="3767"/>
      <c r="Q30" s="1349">
        <f t="shared" si="11"/>
        <v>111</v>
      </c>
      <c r="R30" s="705" t="s">
        <v>14</v>
      </c>
      <c r="S30" s="706">
        <f t="shared" si="12"/>
        <v>100</v>
      </c>
      <c r="T30" s="705" t="s">
        <v>14</v>
      </c>
      <c r="U30" s="706">
        <f t="shared" si="13"/>
        <v>100</v>
      </c>
      <c r="V30" s="705" t="s">
        <v>14</v>
      </c>
      <c r="W30" s="706">
        <f t="shared" si="14"/>
        <v>100</v>
      </c>
      <c r="X30" s="1352"/>
      <c r="Y30" s="3738"/>
      <c r="Z30" s="1353">
        <f t="shared" si="15"/>
        <v>111</v>
      </c>
      <c r="AA30" s="1350">
        <f t="shared" si="3"/>
        <v>1</v>
      </c>
      <c r="AB30" s="1350">
        <f t="shared" si="4"/>
        <v>1</v>
      </c>
      <c r="AC30" s="1350">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3"/>
      <c r="M31" s="2707"/>
      <c r="N31" s="2707"/>
      <c r="O31" s="2707"/>
      <c r="P31" s="3767"/>
      <c r="Q31" s="1349">
        <f t="shared" si="11"/>
        <v>111</v>
      </c>
      <c r="R31" s="705" t="s">
        <v>14</v>
      </c>
      <c r="S31" s="706">
        <f t="shared" si="12"/>
        <v>100</v>
      </c>
      <c r="T31" s="705" t="s">
        <v>14</v>
      </c>
      <c r="U31" s="706">
        <f t="shared" si="13"/>
        <v>100</v>
      </c>
      <c r="V31" s="705" t="s">
        <v>14</v>
      </c>
      <c r="W31" s="706">
        <f t="shared" si="14"/>
        <v>100</v>
      </c>
      <c r="X31" s="1352"/>
      <c r="Y31" s="3738"/>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3"/>
      <c r="M32" s="2707"/>
      <c r="N32" s="2707"/>
      <c r="O32" s="2707"/>
      <c r="P32" s="3762" t="s">
        <v>1693</v>
      </c>
      <c r="Q32" s="1349" t="str">
        <f t="shared" si="11"/>
        <v>商业类型</v>
      </c>
      <c r="R32" s="705" t="s">
        <v>14</v>
      </c>
      <c r="S32" s="706">
        <f t="shared" si="12"/>
        <v>100</v>
      </c>
      <c r="T32" s="705" t="s">
        <v>14</v>
      </c>
      <c r="U32" s="706">
        <f t="shared" si="13"/>
        <v>100</v>
      </c>
      <c r="V32" s="705" t="s">
        <v>14</v>
      </c>
      <c r="W32" s="706">
        <f t="shared" si="14"/>
        <v>100</v>
      </c>
      <c r="X32" s="1352"/>
      <c r="Y32" s="3740"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2"/>
      <c r="M33" s="2714"/>
      <c r="N33" s="2714"/>
      <c r="O33" s="2714"/>
      <c r="P33" s="3763"/>
      <c r="Q33" s="707" t="str">
        <f t="shared" si="11"/>
        <v>项目建筑规模</v>
      </c>
      <c r="R33" s="708" t="s">
        <v>14</v>
      </c>
      <c r="S33" s="709" t="e">
        <f t="shared" si="12"/>
        <v>#N/A</v>
      </c>
      <c r="T33" s="708" t="s">
        <v>14</v>
      </c>
      <c r="U33" s="709" t="e">
        <f t="shared" si="13"/>
        <v>#N/A</v>
      </c>
      <c r="V33" s="708" t="s">
        <v>14</v>
      </c>
      <c r="W33" s="709" t="e">
        <f t="shared" si="14"/>
        <v>#N/A</v>
      </c>
      <c r="X33" s="710"/>
      <c r="Y33" s="3740"/>
      <c r="Z33" s="711" t="str">
        <f t="shared" si="15"/>
        <v>项目建筑规模</v>
      </c>
      <c r="AA33" s="1350" t="e">
        <f t="shared" si="3"/>
        <v>#N/A</v>
      </c>
      <c r="AB33" s="1350" t="e">
        <f t="shared" si="4"/>
        <v>#N/A</v>
      </c>
      <c r="AC33" s="1350" t="e">
        <f t="shared" si="5"/>
        <v>#N/A</v>
      </c>
    </row>
    <row r="34" spans="1:29" ht="15">
      <c r="A34" s="423"/>
      <c r="B34" s="375" t="s">
        <v>1695</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3"/>
      <c r="M34" s="2707"/>
      <c r="N34" s="2707"/>
      <c r="O34" s="2707"/>
      <c r="P34" s="3763"/>
      <c r="Q34" s="1349" t="str">
        <f t="shared" si="11"/>
        <v>建筑结构</v>
      </c>
      <c r="R34" s="705" t="s">
        <v>14</v>
      </c>
      <c r="S34" s="706">
        <f t="shared" si="12"/>
        <v>100</v>
      </c>
      <c r="T34" s="705" t="s">
        <v>14</v>
      </c>
      <c r="U34" s="706">
        <f t="shared" si="13"/>
        <v>100</v>
      </c>
      <c r="V34" s="705" t="s">
        <v>14</v>
      </c>
      <c r="W34" s="706">
        <f t="shared" si="14"/>
        <v>100</v>
      </c>
      <c r="X34" s="1352"/>
      <c r="Y34" s="3740"/>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3"/>
      <c r="M35" s="2707"/>
      <c r="N35" s="2707"/>
      <c r="O35" s="2707"/>
      <c r="P35" s="3763"/>
      <c r="Q35" s="1349" t="str">
        <f t="shared" si="11"/>
        <v>公共部分装修</v>
      </c>
      <c r="R35" s="705" t="s">
        <v>14</v>
      </c>
      <c r="S35" s="706">
        <f t="shared" si="12"/>
        <v>100</v>
      </c>
      <c r="T35" s="705" t="s">
        <v>14</v>
      </c>
      <c r="U35" s="706">
        <f t="shared" si="13"/>
        <v>100</v>
      </c>
      <c r="V35" s="705" t="s">
        <v>14</v>
      </c>
      <c r="W35" s="706">
        <f t="shared" si="14"/>
        <v>100</v>
      </c>
      <c r="X35" s="1352"/>
      <c r="Y35" s="3740"/>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3"/>
      <c r="M36" s="2707"/>
      <c r="N36" s="2707"/>
      <c r="O36" s="2707"/>
      <c r="P36" s="3763"/>
      <c r="Q36" s="1349" t="str">
        <f t="shared" si="11"/>
        <v>成新度</v>
      </c>
      <c r="R36" s="705" t="s">
        <v>14</v>
      </c>
      <c r="S36" s="706" t="e">
        <f t="shared" si="12"/>
        <v>#N/A</v>
      </c>
      <c r="T36" s="705" t="s">
        <v>14</v>
      </c>
      <c r="U36" s="706" t="e">
        <f t="shared" si="13"/>
        <v>#N/A</v>
      </c>
      <c r="V36" s="705" t="s">
        <v>14</v>
      </c>
      <c r="W36" s="706" t="e">
        <f t="shared" si="14"/>
        <v>#N/A</v>
      </c>
      <c r="X36" s="1352"/>
      <c r="Y36" s="3740"/>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08"/>
      <c r="M37" s="2709"/>
      <c r="N37" s="2709"/>
      <c r="O37" s="2709"/>
      <c r="P37" s="3763"/>
      <c r="Q37" s="1340"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3"/>
      <c r="M38" s="2707"/>
      <c r="N38" s="2707"/>
      <c r="O38" s="2707"/>
      <c r="P38" s="3763" t="s">
        <v>1693</v>
      </c>
      <c r="Q38" s="1349" t="str">
        <f t="shared" si="11"/>
        <v>业态</v>
      </c>
      <c r="R38" s="705" t="s">
        <v>14</v>
      </c>
      <c r="S38" s="706">
        <f t="shared" si="12"/>
        <v>100</v>
      </c>
      <c r="T38" s="705" t="s">
        <v>14</v>
      </c>
      <c r="U38" s="706">
        <f t="shared" si="13"/>
        <v>100</v>
      </c>
      <c r="V38" s="705" t="s">
        <v>14</v>
      </c>
      <c r="W38" s="706">
        <f t="shared" si="14"/>
        <v>100</v>
      </c>
      <c r="X38" s="1352"/>
      <c r="Y38" s="3740"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3"/>
      <c r="M39" s="2707"/>
      <c r="N39" s="2707"/>
      <c r="O39" s="2707"/>
      <c r="P39" s="3763"/>
      <c r="Q39" s="1349" t="str">
        <f t="shared" si="11"/>
        <v>层高</v>
      </c>
      <c r="R39" s="705" t="s">
        <v>14</v>
      </c>
      <c r="S39" s="706">
        <f t="shared" si="12"/>
        <v>100</v>
      </c>
      <c r="T39" s="705" t="s">
        <v>14</v>
      </c>
      <c r="U39" s="706">
        <f t="shared" si="13"/>
        <v>100</v>
      </c>
      <c r="V39" s="705" t="s">
        <v>14</v>
      </c>
      <c r="W39" s="706">
        <f t="shared" si="14"/>
        <v>100</v>
      </c>
      <c r="X39" s="1352"/>
      <c r="Y39" s="3740"/>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3"/>
      <c r="M40" s="2707"/>
      <c r="N40" s="2707"/>
      <c r="O40" s="2707"/>
      <c r="P40" s="3763"/>
      <c r="Q40" s="1349" t="str">
        <f t="shared" si="11"/>
        <v>单套建筑面积</v>
      </c>
      <c r="R40" s="705" t="s">
        <v>14</v>
      </c>
      <c r="S40" s="706">
        <f t="shared" si="12"/>
        <v>100</v>
      </c>
      <c r="T40" s="705" t="s">
        <v>14</v>
      </c>
      <c r="U40" s="706">
        <f t="shared" si="13"/>
        <v>100</v>
      </c>
      <c r="V40" s="705" t="s">
        <v>14</v>
      </c>
      <c r="W40" s="706">
        <f t="shared" si="14"/>
        <v>100</v>
      </c>
      <c r="X40" s="1352"/>
      <c r="Y40" s="3740"/>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2"/>
      <c r="M41" s="2714"/>
      <c r="N41" s="2714"/>
      <c r="O41" s="2714"/>
      <c r="P41" s="3763"/>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3"/>
      <c r="M42" s="2707"/>
      <c r="N42" s="2707"/>
      <c r="O42" s="2707"/>
      <c r="P42" s="3763"/>
      <c r="Q42" s="1349" t="str">
        <f t="shared" si="11"/>
        <v>内部装修</v>
      </c>
      <c r="R42" s="705" t="s">
        <v>14</v>
      </c>
      <c r="S42" s="706">
        <f t="shared" si="12"/>
        <v>100</v>
      </c>
      <c r="T42" s="705" t="s">
        <v>14</v>
      </c>
      <c r="U42" s="706">
        <f t="shared" si="13"/>
        <v>100</v>
      </c>
      <c r="V42" s="705" t="s">
        <v>14</v>
      </c>
      <c r="W42" s="706">
        <f t="shared" si="14"/>
        <v>100</v>
      </c>
      <c r="X42" s="1352"/>
      <c r="Y42" s="3740"/>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3"/>
      <c r="M43" s="2707"/>
      <c r="N43" s="2707"/>
      <c r="O43" s="2707"/>
      <c r="P43" s="3763"/>
      <c r="Q43" s="1349" t="str">
        <f t="shared" si="11"/>
        <v>内部装修维护情况</v>
      </c>
      <c r="R43" s="705" t="s">
        <v>14</v>
      </c>
      <c r="S43" s="706">
        <f t="shared" si="12"/>
        <v>100</v>
      </c>
      <c r="T43" s="705" t="s">
        <v>14</v>
      </c>
      <c r="U43" s="706">
        <f t="shared" si="13"/>
        <v>100</v>
      </c>
      <c r="V43" s="705" t="s">
        <v>14</v>
      </c>
      <c r="W43" s="706">
        <f t="shared" si="14"/>
        <v>100</v>
      </c>
      <c r="X43" s="1352"/>
      <c r="Y43" s="3740"/>
      <c r="Z43" s="1353" t="str">
        <f t="shared" si="15"/>
        <v>内部装修维护情况</v>
      </c>
      <c r="AA43" s="1350">
        <f t="shared" si="3"/>
        <v>1</v>
      </c>
      <c r="AB43" s="1350">
        <f t="shared" si="4"/>
        <v>1</v>
      </c>
      <c r="AC43" s="1350">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8"/>
      <c r="M44" s="2709"/>
      <c r="N44" s="2709"/>
      <c r="O44" s="2709"/>
      <c r="P44" s="3763"/>
      <c r="Q44" s="1340">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3"/>
      <c r="M45" s="2707"/>
      <c r="N45" s="2707"/>
      <c r="O45" s="2707"/>
      <c r="P45" s="3763"/>
      <c r="Q45" s="1349">
        <f t="shared" si="11"/>
        <v>111</v>
      </c>
      <c r="R45" s="705" t="s">
        <v>14</v>
      </c>
      <c r="S45" s="706">
        <f t="shared" si="12"/>
        <v>100</v>
      </c>
      <c r="T45" s="705" t="s">
        <v>14</v>
      </c>
      <c r="U45" s="706">
        <f t="shared" si="13"/>
        <v>100</v>
      </c>
      <c r="V45" s="705" t="s">
        <v>14</v>
      </c>
      <c r="W45" s="706">
        <f t="shared" si="14"/>
        <v>100</v>
      </c>
      <c r="X45" s="1352"/>
      <c r="Y45" s="3740"/>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3"/>
      <c r="M46" s="2707"/>
      <c r="N46" s="2707"/>
      <c r="O46" s="2707"/>
      <c r="P46" s="3764"/>
      <c r="Q46" s="1349">
        <f t="shared" si="11"/>
        <v>111</v>
      </c>
      <c r="R46" s="705" t="s">
        <v>14</v>
      </c>
      <c r="S46" s="706">
        <f t="shared" si="12"/>
        <v>100</v>
      </c>
      <c r="T46" s="705" t="s">
        <v>14</v>
      </c>
      <c r="U46" s="706">
        <f t="shared" si="13"/>
        <v>100</v>
      </c>
      <c r="V46" s="705" t="s">
        <v>14</v>
      </c>
      <c r="W46" s="706">
        <f t="shared" si="14"/>
        <v>100</v>
      </c>
      <c r="X46" s="1352"/>
      <c r="Y46" s="3765"/>
      <c r="Z46" s="1353">
        <f t="shared" si="15"/>
        <v>111</v>
      </c>
      <c r="AA46" s="1350">
        <f t="shared" si="3"/>
        <v>1</v>
      </c>
      <c r="AB46" s="1350">
        <f t="shared" si="4"/>
        <v>1</v>
      </c>
      <c r="AC46" s="1350">
        <f t="shared" si="5"/>
        <v>1</v>
      </c>
    </row>
    <row r="47" spans="1:29" ht="15">
      <c r="A47" s="430" t="s">
        <v>1705</v>
      </c>
      <c r="B47" s="431"/>
      <c r="C47" s="1154" t="s">
        <v>0</v>
      </c>
      <c r="D47" s="1155"/>
      <c r="E47" s="1156"/>
      <c r="F47" s="1157"/>
      <c r="G47" s="1158"/>
      <c r="H47" s="1159"/>
      <c r="I47" s="1156"/>
      <c r="J47" s="1159"/>
      <c r="K47" s="714"/>
      <c r="L47" s="2715"/>
      <c r="M47" s="2716"/>
      <c r="N47" s="2707"/>
      <c r="O47" s="2716"/>
      <c r="P47" s="3722" t="str">
        <f>A47</f>
        <v>成交单价（元/平方米）</v>
      </c>
      <c r="Q47" s="3722"/>
      <c r="R47" s="3735">
        <f>E47</f>
        <v>0</v>
      </c>
      <c r="S47" s="3735"/>
      <c r="T47" s="3735">
        <f>G47</f>
        <v>0</v>
      </c>
      <c r="U47" s="3735"/>
      <c r="V47" s="3735">
        <f>I47</f>
        <v>0</v>
      </c>
      <c r="W47" s="3735"/>
      <c r="X47" s="690"/>
      <c r="Y47" s="712"/>
      <c r="Z47" s="690"/>
      <c r="AA47" s="690"/>
      <c r="AB47" s="690"/>
      <c r="AC47" s="690"/>
    </row>
    <row r="48" spans="1:29" ht="15.75" thickBot="1">
      <c r="A48" s="437" t="s">
        <v>1790</v>
      </c>
      <c r="B48" s="438"/>
      <c r="C48" s="1160" t="e">
        <f>R49</f>
        <v>#DIV/0!</v>
      </c>
      <c r="D48" s="2310" t="s">
        <v>2134</v>
      </c>
      <c r="E48" s="1161" t="e">
        <f>R48</f>
        <v>#DIV/0!</v>
      </c>
      <c r="F48" s="2311"/>
      <c r="G48" s="1160" t="e">
        <f>T48</f>
        <v>#DIV/0!</v>
      </c>
      <c r="H48" s="2311"/>
      <c r="I48" s="1161" t="e">
        <f>V48</f>
        <v>#DIV/0!</v>
      </c>
      <c r="J48" s="2311"/>
      <c r="K48" s="2313">
        <f>F48+H48+J48</f>
        <v>0</v>
      </c>
      <c r="L48" s="2715"/>
      <c r="M48" s="2716"/>
      <c r="N48" s="2707"/>
      <c r="O48" s="2716"/>
      <c r="P48" s="3722" t="str">
        <f>A48</f>
        <v>比较价值（元/平方米）</v>
      </c>
      <c r="Q48" s="3722"/>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15"/>
      <c r="M49" s="2716"/>
      <c r="N49" s="2707"/>
      <c r="O49" s="2716"/>
      <c r="P49" s="3742" t="str">
        <f>A49</f>
        <v>估价对象XX用房的比较价值（楼面单价，元/平方米）</v>
      </c>
      <c r="Q49" s="3743"/>
      <c r="R49" s="3760" t="e">
        <f>IF(F1="售价",ROUND(IF(D48="简单平均",AVERAGE(R48:V48),R48*F48+T48*H48+V48*J48),0),ROUND(IF(D48="简单平均",AVERAGE(R48:V48),R48*F48+T48*H48+V48*J48),1))</f>
        <v>#DIV/0!</v>
      </c>
      <c r="S49" s="3760"/>
      <c r="T49" s="3760"/>
      <c r="U49" s="3760"/>
      <c r="V49" s="3760"/>
      <c r="W49" s="3760"/>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51" customFormat="1" ht="13.5" customHeight="1">
      <c r="A54" s="2719"/>
      <c r="B54" s="2719"/>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51"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4" t="s">
        <v>1795</v>
      </c>
      <c r="B57" s="690"/>
      <c r="C57" s="695"/>
      <c r="D57" s="695"/>
      <c r="E57" s="695"/>
      <c r="F57" s="696"/>
      <c r="G57" s="696"/>
      <c r="H57" s="695"/>
      <c r="I57" s="695"/>
      <c r="J57" s="695"/>
      <c r="K57" s="697"/>
      <c r="L57" s="942"/>
      <c r="M57" s="940"/>
      <c r="N57" s="940"/>
      <c r="O57" s="940"/>
      <c r="P57" s="2729"/>
      <c r="Q57" s="2730"/>
      <c r="R57" s="2716"/>
      <c r="S57" s="2716"/>
      <c r="T57" s="2716"/>
      <c r="U57" s="2716"/>
      <c r="V57" s="2716"/>
      <c r="W57" s="2716"/>
      <c r="X57" s="2716"/>
      <c r="Y57" s="2716"/>
      <c r="Z57" s="2716"/>
      <c r="AA57" s="2716"/>
      <c r="AB57" s="2716"/>
      <c r="AC57" s="2716"/>
    </row>
    <row r="58" spans="1:29" s="457" customFormat="1" ht="15">
      <c r="A58" s="454" t="s">
        <v>1676</v>
      </c>
      <c r="B58" s="455"/>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1"/>
      <c r="Q58" s="2732"/>
      <c r="R58" s="2732"/>
      <c r="S58" s="2732"/>
      <c r="T58" s="2732"/>
      <c r="U58" s="2732"/>
      <c r="V58" s="2732"/>
      <c r="W58" s="2732"/>
      <c r="X58" s="2732"/>
      <c r="Y58" s="2732"/>
      <c r="Z58" s="2732"/>
      <c r="AA58" s="2732"/>
      <c r="AB58" s="2732"/>
      <c r="AC58" s="2732"/>
    </row>
    <row r="59" spans="1:29" s="108" customFormat="1" ht="15">
      <c r="A59" s="458"/>
      <c r="B59" s="459"/>
      <c r="C59" s="1180">
        <v>100</v>
      </c>
      <c r="D59" s="461"/>
      <c r="E59" s="461"/>
      <c r="F59" s="461"/>
      <c r="G59" s="461"/>
      <c r="H59" s="461"/>
      <c r="I59" s="461"/>
      <c r="J59" s="461"/>
      <c r="K59" s="461"/>
      <c r="L59" s="461"/>
      <c r="M59" s="462"/>
      <c r="N59" s="461"/>
      <c r="O59" s="462"/>
      <c r="P59" s="2733"/>
      <c r="Q59" s="2652"/>
      <c r="R59" s="2652"/>
      <c r="S59" s="2652"/>
      <c r="T59" s="2652"/>
      <c r="U59" s="2652"/>
      <c r="V59" s="2652"/>
      <c r="W59" s="2652"/>
      <c r="X59" s="2652"/>
      <c r="Y59" s="2652"/>
      <c r="Z59" s="2652"/>
      <c r="AA59" s="2652"/>
      <c r="AB59" s="2652"/>
      <c r="AC59" s="2652"/>
    </row>
    <row r="60" spans="1:29" s="108" customFormat="1" ht="15.75" thickBot="1">
      <c r="A60" s="464" t="s">
        <v>1713</v>
      </c>
      <c r="B60" s="465"/>
      <c r="C60" s="466"/>
      <c r="D60" s="467"/>
      <c r="E60" s="467"/>
      <c r="F60" s="467"/>
      <c r="G60" s="467"/>
      <c r="H60" s="467"/>
      <c r="I60" s="467"/>
      <c r="J60" s="467"/>
      <c r="K60" s="467"/>
      <c r="L60" s="467"/>
      <c r="M60" s="468"/>
      <c r="N60" s="467"/>
      <c r="O60" s="468"/>
      <c r="P60" s="2733"/>
      <c r="Q60" s="2730"/>
      <c r="R60" s="2652"/>
      <c r="S60" s="2652"/>
      <c r="T60" s="2652"/>
      <c r="U60" s="2652"/>
      <c r="V60" s="2652"/>
      <c r="W60" s="2652"/>
      <c r="X60" s="2652"/>
      <c r="Y60" s="2652"/>
      <c r="Z60" s="2652"/>
      <c r="AA60" s="2652"/>
      <c r="AB60" s="2652"/>
      <c r="AC60" s="2652"/>
    </row>
    <row r="61" spans="1:29" s="108" customFormat="1" ht="15">
      <c r="A61" s="470" t="s">
        <v>1678</v>
      </c>
      <c r="B61" s="459"/>
      <c r="C61" s="471" t="s">
        <v>1773</v>
      </c>
      <c r="D61" s="472"/>
      <c r="E61" s="472"/>
      <c r="F61" s="472"/>
      <c r="G61" s="472"/>
      <c r="H61" s="472"/>
      <c r="I61" s="472"/>
      <c r="J61" s="472"/>
      <c r="K61" s="472"/>
      <c r="L61" s="473"/>
      <c r="M61" s="474"/>
      <c r="N61" s="2743"/>
      <c r="O61" s="2743"/>
      <c r="P61" s="2734"/>
      <c r="Q61" s="2730"/>
      <c r="R61" s="2652"/>
      <c r="S61" s="2652"/>
      <c r="T61" s="2652"/>
      <c r="U61" s="2652"/>
      <c r="V61" s="2652"/>
      <c r="W61" s="2652"/>
      <c r="X61" s="2652"/>
      <c r="Y61" s="2652"/>
      <c r="Z61" s="2652"/>
      <c r="AA61" s="2652"/>
      <c r="AB61" s="2652"/>
      <c r="AC61" s="2652"/>
    </row>
    <row r="62" spans="1:29" s="108" customFormat="1" ht="15.75" thickBot="1">
      <c r="A62" s="470"/>
      <c r="B62" s="459"/>
      <c r="C62" s="460">
        <v>100</v>
      </c>
      <c r="D62" s="461"/>
      <c r="E62" s="461"/>
      <c r="F62" s="461"/>
      <c r="G62" s="461"/>
      <c r="H62" s="461"/>
      <c r="I62" s="461"/>
      <c r="J62" s="461"/>
      <c r="K62" s="461"/>
      <c r="L62" s="461"/>
      <c r="M62" s="463"/>
      <c r="N62" s="2743"/>
      <c r="O62" s="2743"/>
      <c r="P62" s="2733"/>
      <c r="Q62" s="2730"/>
      <c r="R62" s="2652"/>
      <c r="S62" s="2652"/>
      <c r="T62" s="2652"/>
      <c r="U62" s="2652"/>
      <c r="V62" s="2652"/>
      <c r="W62" s="2652"/>
      <c r="X62" s="2652"/>
      <c r="Y62" s="2652"/>
      <c r="Z62" s="2652"/>
      <c r="AA62" s="2652"/>
      <c r="AB62" s="2652"/>
      <c r="AC62" s="2652"/>
    </row>
    <row r="63" spans="1:29">
      <c r="A63" s="476" t="s">
        <v>1716</v>
      </c>
      <c r="B63" s="477" t="s">
        <v>1682</v>
      </c>
      <c r="C63" s="478">
        <f>C9</f>
        <v>0</v>
      </c>
      <c r="D63" s="479"/>
      <c r="E63" s="479"/>
      <c r="F63" s="479"/>
      <c r="G63" s="479"/>
      <c r="H63" s="479"/>
      <c r="I63" s="479"/>
      <c r="J63" s="479"/>
      <c r="K63" s="480"/>
      <c r="L63" s="481"/>
      <c r="M63" s="482"/>
      <c r="N63" s="2744"/>
      <c r="O63" s="2744"/>
      <c r="P63" s="2735"/>
      <c r="Q63" s="2730"/>
      <c r="R63" s="2716"/>
      <c r="S63" s="2716"/>
      <c r="T63" s="2716"/>
      <c r="U63" s="2716"/>
      <c r="V63" s="2716"/>
      <c r="W63" s="2716"/>
      <c r="X63" s="2716"/>
      <c r="Y63" s="2716"/>
      <c r="Z63" s="2716"/>
      <c r="AA63" s="2716"/>
      <c r="AB63" s="2716"/>
      <c r="AC63" s="2716"/>
    </row>
    <row r="64" spans="1:29" ht="15.75" thickBot="1">
      <c r="A64" s="483"/>
      <c r="B64" s="484"/>
      <c r="C64" s="485">
        <v>100</v>
      </c>
      <c r="D64" s="485"/>
      <c r="E64" s="485"/>
      <c r="F64" s="485"/>
      <c r="G64" s="485"/>
      <c r="H64" s="485"/>
      <c r="I64" s="485"/>
      <c r="J64" s="485"/>
      <c r="K64" s="485"/>
      <c r="L64" s="485"/>
      <c r="M64" s="486"/>
      <c r="N64" s="2745"/>
      <c r="O64" s="2745"/>
      <c r="P64" s="2735"/>
      <c r="Q64" s="2730"/>
      <c r="R64" s="2716"/>
      <c r="S64" s="2716"/>
      <c r="T64" s="2716"/>
      <c r="U64" s="2716"/>
      <c r="V64" s="2716"/>
      <c r="W64" s="2716"/>
      <c r="X64" s="2716"/>
      <c r="Y64" s="2716"/>
      <c r="Z64" s="2716"/>
      <c r="AA64" s="2716"/>
      <c r="AB64" s="2716"/>
      <c r="AC64" s="2716"/>
    </row>
    <row r="65" spans="1:29" ht="27.75" thickTop="1">
      <c r="A65" s="483"/>
      <c r="B65" s="487" t="s">
        <v>1685</v>
      </c>
      <c r="C65" s="532"/>
      <c r="D65" s="532"/>
      <c r="E65" s="532"/>
      <c r="F65" s="532"/>
      <c r="G65" s="532"/>
      <c r="H65" s="532"/>
      <c r="I65" s="532"/>
      <c r="J65" s="532"/>
      <c r="K65" s="533"/>
      <c r="L65" s="534"/>
      <c r="M65" s="535"/>
      <c r="N65" s="2744"/>
      <c r="O65" s="2744"/>
      <c r="P65" s="2735"/>
      <c r="Q65" s="2730"/>
      <c r="R65" s="2716"/>
      <c r="S65" s="2716"/>
      <c r="T65" s="2716"/>
      <c r="U65" s="2716"/>
      <c r="V65" s="2716"/>
      <c r="W65" s="2716"/>
      <c r="X65" s="2716"/>
      <c r="Y65" s="2716"/>
      <c r="Z65" s="2716"/>
      <c r="AA65" s="2716"/>
      <c r="AB65" s="2716"/>
      <c r="AC65" s="2716"/>
    </row>
    <row r="66" spans="1:29" ht="15.75" thickBot="1">
      <c r="A66" s="483"/>
      <c r="B66" s="492"/>
      <c r="C66" s="485"/>
      <c r="D66" s="485"/>
      <c r="E66" s="485"/>
      <c r="F66" s="485"/>
      <c r="G66" s="485"/>
      <c r="H66" s="485"/>
      <c r="I66" s="485"/>
      <c r="J66" s="485"/>
      <c r="K66" s="485"/>
      <c r="L66" s="485"/>
      <c r="M66" s="486"/>
      <c r="N66" s="2745"/>
      <c r="O66" s="2745"/>
      <c r="P66" s="2735"/>
      <c r="Q66" s="2730"/>
      <c r="R66" s="2716"/>
      <c r="S66" s="2716"/>
      <c r="T66" s="2716"/>
      <c r="U66" s="2716"/>
      <c r="V66" s="2716"/>
      <c r="W66" s="2716"/>
      <c r="X66" s="2716"/>
      <c r="Y66" s="2716"/>
      <c r="Z66" s="2716"/>
      <c r="AA66" s="2716"/>
      <c r="AB66" s="2716"/>
      <c r="AC66" s="2716"/>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3"/>
      <c r="B68" s="497"/>
      <c r="C68" s="498"/>
      <c r="D68" s="498"/>
      <c r="E68" s="498"/>
      <c r="F68" s="498"/>
      <c r="G68" s="498"/>
      <c r="H68" s="498"/>
      <c r="I68" s="498"/>
      <c r="J68" s="498"/>
      <c r="K68" s="499"/>
      <c r="L68" s="500"/>
      <c r="M68" s="501"/>
      <c r="N68" s="2744"/>
      <c r="O68" s="2744"/>
      <c r="P68" s="2735"/>
      <c r="Q68" s="2730"/>
      <c r="R68" s="2716"/>
      <c r="S68" s="2716"/>
      <c r="T68" s="2716"/>
      <c r="U68" s="2716"/>
      <c r="V68" s="2716"/>
      <c r="W68" s="2716"/>
      <c r="X68" s="2716"/>
      <c r="Y68" s="2716"/>
      <c r="Z68" s="2716"/>
      <c r="AA68" s="2716"/>
      <c r="AB68" s="2716"/>
      <c r="AC68" s="271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2"/>
      <c r="B70" s="487">
        <f>B12</f>
        <v>111</v>
      </c>
      <c r="C70" s="503"/>
      <c r="D70" s="503"/>
      <c r="E70" s="503"/>
      <c r="F70" s="503"/>
      <c r="G70" s="503"/>
      <c r="H70" s="504"/>
      <c r="I70" s="504"/>
      <c r="J70" s="504"/>
      <c r="K70" s="504"/>
      <c r="L70" s="505"/>
      <c r="M70" s="506"/>
      <c r="N70" s="2746"/>
      <c r="O70" s="2746"/>
      <c r="P70" s="2736"/>
      <c r="Q70" s="2737"/>
      <c r="R70" s="2738"/>
      <c r="S70" s="2738"/>
      <c r="T70" s="2738"/>
      <c r="U70" s="2738"/>
      <c r="V70" s="2738"/>
      <c r="W70" s="2738"/>
      <c r="X70" s="2738"/>
      <c r="Y70" s="2738"/>
      <c r="Z70" s="2738"/>
      <c r="AA70" s="2738"/>
      <c r="AB70" s="2738"/>
      <c r="AC70" s="2738"/>
    </row>
    <row r="71" spans="1:29" s="422" customFormat="1" ht="15.75" thickBot="1">
      <c r="A71" s="502"/>
      <c r="B71" s="492"/>
      <c r="C71" s="509"/>
      <c r="D71" s="485"/>
      <c r="E71" s="485"/>
      <c r="F71" s="485"/>
      <c r="G71" s="485"/>
      <c r="H71" s="485"/>
      <c r="I71" s="485"/>
      <c r="J71" s="485"/>
      <c r="K71" s="485"/>
      <c r="L71" s="485"/>
      <c r="M71" s="486"/>
      <c r="N71" s="2745"/>
      <c r="O71" s="2745"/>
      <c r="P71" s="2736"/>
      <c r="Q71" s="2737"/>
      <c r="R71" s="2738"/>
      <c r="S71" s="2738"/>
      <c r="T71" s="2738"/>
      <c r="U71" s="2738"/>
      <c r="V71" s="2738"/>
      <c r="W71" s="2738"/>
      <c r="X71" s="2738"/>
      <c r="Y71" s="2738"/>
      <c r="Z71" s="2738"/>
      <c r="AA71" s="2738"/>
      <c r="AB71" s="2738"/>
      <c r="AC71" s="2738"/>
    </row>
    <row r="72" spans="1:29" s="422" customFormat="1" ht="15.75" thickTop="1">
      <c r="A72" s="502"/>
      <c r="B72" s="487">
        <f>B13</f>
        <v>111</v>
      </c>
      <c r="C72" s="503"/>
      <c r="D72" s="503"/>
      <c r="E72" s="503"/>
      <c r="F72" s="503"/>
      <c r="G72" s="503"/>
      <c r="H72" s="504"/>
      <c r="I72" s="504"/>
      <c r="J72" s="504"/>
      <c r="K72" s="504"/>
      <c r="L72" s="505"/>
      <c r="M72" s="506"/>
      <c r="N72" s="2746"/>
      <c r="O72" s="2746"/>
      <c r="P72" s="2739"/>
      <c r="Q72" s="2740"/>
      <c r="R72" s="2738"/>
      <c r="S72" s="2738"/>
      <c r="T72" s="2738"/>
      <c r="U72" s="2738"/>
      <c r="V72" s="2738"/>
      <c r="W72" s="2738"/>
      <c r="X72" s="2738"/>
      <c r="Y72" s="2738"/>
      <c r="Z72" s="2738"/>
      <c r="AA72" s="2738"/>
      <c r="AB72" s="2738"/>
      <c r="AC72" s="2738"/>
    </row>
    <row r="73" spans="1:29" s="422" customFormat="1" ht="15.75" thickBot="1">
      <c r="A73" s="502"/>
      <c r="B73" s="492"/>
      <c r="C73" s="509"/>
      <c r="D73" s="485"/>
      <c r="E73" s="485"/>
      <c r="F73" s="485"/>
      <c r="G73" s="509"/>
      <c r="H73" s="511"/>
      <c r="I73" s="511"/>
      <c r="J73" s="511"/>
      <c r="K73" s="511"/>
      <c r="L73" s="511"/>
      <c r="M73" s="512"/>
      <c r="N73" s="2746"/>
      <c r="O73" s="2746"/>
      <c r="P73" s="2736"/>
      <c r="Q73" s="2737"/>
      <c r="R73" s="2738"/>
      <c r="S73" s="2738"/>
      <c r="T73" s="2738"/>
      <c r="U73" s="2738"/>
      <c r="V73" s="2738"/>
      <c r="W73" s="2738"/>
      <c r="X73" s="2738"/>
      <c r="Y73" s="2738"/>
      <c r="Z73" s="2738"/>
      <c r="AA73" s="2738"/>
      <c r="AB73" s="2738"/>
      <c r="AC73" s="2738"/>
    </row>
    <row r="74" spans="1:29" s="422" customFormat="1" ht="15.75" thickTop="1">
      <c r="A74" s="502"/>
      <c r="B74" s="495">
        <f>B14</f>
        <v>111</v>
      </c>
      <c r="C74" s="503"/>
      <c r="D74" s="503"/>
      <c r="E74" s="503"/>
      <c r="F74" s="503"/>
      <c r="G74" s="472"/>
      <c r="H74" s="513"/>
      <c r="I74" s="513"/>
      <c r="J74" s="513"/>
      <c r="K74" s="513"/>
      <c r="L74" s="514"/>
      <c r="M74" s="515"/>
      <c r="N74" s="2746"/>
      <c r="O74" s="2746"/>
      <c r="P74" s="2741"/>
      <c r="Q74" s="2737"/>
      <c r="R74" s="2738"/>
      <c r="S74" s="2738"/>
      <c r="T74" s="2738"/>
      <c r="U74" s="2738"/>
      <c r="V74" s="2738"/>
      <c r="W74" s="2738"/>
      <c r="X74" s="2738"/>
      <c r="Y74" s="2738"/>
      <c r="Z74" s="2738"/>
      <c r="AA74" s="2738"/>
      <c r="AB74" s="2738"/>
      <c r="AC74" s="2738"/>
    </row>
    <row r="75" spans="1:29" s="422" customFormat="1" ht="15.75" thickBot="1">
      <c r="A75" s="517"/>
      <c r="B75" s="518"/>
      <c r="C75" s="519"/>
      <c r="D75" s="519"/>
      <c r="E75" s="519"/>
      <c r="F75" s="519"/>
      <c r="G75" s="519"/>
      <c r="H75" s="520"/>
      <c r="I75" s="520"/>
      <c r="J75" s="520"/>
      <c r="K75" s="520"/>
      <c r="L75" s="520"/>
      <c r="M75" s="521"/>
      <c r="N75" s="2746"/>
      <c r="O75" s="2746"/>
      <c r="P75" s="2736"/>
      <c r="Q75" s="2737"/>
      <c r="R75" s="2738"/>
      <c r="S75" s="2738"/>
      <c r="T75" s="2738"/>
      <c r="U75" s="2738"/>
      <c r="V75" s="2738"/>
      <c r="W75" s="2738"/>
      <c r="X75" s="2738"/>
      <c r="Y75" s="2738"/>
      <c r="Z75" s="2738"/>
      <c r="AA75" s="2738"/>
      <c r="AB75" s="2738"/>
      <c r="AC75" s="2738"/>
    </row>
    <row r="76" spans="1:29">
      <c r="A76" s="476" t="s">
        <v>1687</v>
      </c>
      <c r="B76" s="477" t="s">
        <v>1717</v>
      </c>
      <c r="C76" s="522" t="s">
        <v>1718</v>
      </c>
      <c r="D76" s="522" t="s">
        <v>1719</v>
      </c>
      <c r="E76" s="522" t="s">
        <v>1720</v>
      </c>
      <c r="F76" s="522" t="s">
        <v>1721</v>
      </c>
      <c r="G76" s="522" t="s">
        <v>1722</v>
      </c>
      <c r="H76" s="478"/>
      <c r="I76" s="478"/>
      <c r="J76" s="478"/>
      <c r="K76" s="523"/>
      <c r="L76" s="524"/>
      <c r="M76" s="525"/>
      <c r="N76" s="2744"/>
      <c r="O76" s="2744"/>
      <c r="P76" s="2742"/>
      <c r="Q76" s="2730"/>
      <c r="R76" s="2716"/>
      <c r="S76" s="2716"/>
      <c r="T76" s="2716"/>
      <c r="U76" s="2716"/>
      <c r="V76" s="2716"/>
      <c r="W76" s="2716"/>
      <c r="X76" s="2716"/>
      <c r="Y76" s="2716"/>
      <c r="Z76" s="2716"/>
      <c r="AA76" s="2716"/>
      <c r="AB76" s="2716"/>
      <c r="AC76" s="271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5"/>
      <c r="O77" s="2745"/>
      <c r="P77" s="2735"/>
      <c r="Q77" s="2730"/>
      <c r="R77" s="2716"/>
      <c r="S77" s="2716"/>
      <c r="T77" s="2716"/>
      <c r="U77" s="2716"/>
      <c r="V77" s="2716"/>
      <c r="W77" s="2716"/>
      <c r="X77" s="2716"/>
      <c r="Y77" s="2716"/>
      <c r="Z77" s="2716"/>
      <c r="AA77" s="2716"/>
      <c r="AB77" s="2716"/>
      <c r="AC77" s="2716"/>
    </row>
    <row r="78" spans="1:29" ht="15.75" thickTop="1">
      <c r="A78" s="483"/>
      <c r="B78" s="487" t="s">
        <v>1723</v>
      </c>
      <c r="C78" s="527" t="s">
        <v>1718</v>
      </c>
      <c r="D78" s="527" t="s">
        <v>1719</v>
      </c>
      <c r="E78" s="527" t="s">
        <v>1720</v>
      </c>
      <c r="F78" s="527" t="s">
        <v>1721</v>
      </c>
      <c r="G78" s="527" t="s">
        <v>1722</v>
      </c>
      <c r="H78" s="488"/>
      <c r="I78" s="488"/>
      <c r="J78" s="488"/>
      <c r="K78" s="489"/>
      <c r="L78" s="490"/>
      <c r="M78" s="491"/>
      <c r="N78" s="2744"/>
      <c r="O78" s="2744"/>
      <c r="P78" s="2735"/>
      <c r="Q78" s="2730"/>
      <c r="R78" s="2716"/>
      <c r="S78" s="2716"/>
      <c r="T78" s="2716"/>
      <c r="U78" s="2716"/>
      <c r="V78" s="2716"/>
      <c r="W78" s="2716"/>
      <c r="X78" s="2716"/>
      <c r="Y78" s="2716"/>
      <c r="Z78" s="2716"/>
      <c r="AA78" s="2716"/>
      <c r="AB78" s="2716"/>
      <c r="AC78" s="271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5"/>
      <c r="O79" s="2745"/>
      <c r="P79" s="2735"/>
      <c r="Q79" s="2730"/>
      <c r="R79" s="2716"/>
      <c r="S79" s="2716"/>
      <c r="T79" s="2716"/>
      <c r="U79" s="2716"/>
      <c r="V79" s="2716"/>
      <c r="W79" s="2716"/>
      <c r="X79" s="2716"/>
      <c r="Y79" s="2716"/>
      <c r="Z79" s="2716"/>
      <c r="AA79" s="2716"/>
      <c r="AB79" s="2716"/>
      <c r="AC79" s="2716"/>
    </row>
    <row r="80" spans="1:29" ht="15.75" thickTop="1">
      <c r="A80" s="483"/>
      <c r="B80" s="487" t="s">
        <v>1724</v>
      </c>
      <c r="C80" s="527" t="s">
        <v>1718</v>
      </c>
      <c r="D80" s="527" t="s">
        <v>1719</v>
      </c>
      <c r="E80" s="527" t="s">
        <v>1720</v>
      </c>
      <c r="F80" s="527" t="s">
        <v>1721</v>
      </c>
      <c r="G80" s="527" t="s">
        <v>1722</v>
      </c>
      <c r="H80" s="488"/>
      <c r="I80" s="488"/>
      <c r="J80" s="488"/>
      <c r="K80" s="489"/>
      <c r="L80" s="490"/>
      <c r="M80" s="491"/>
      <c r="N80" s="2744"/>
      <c r="O80" s="2744"/>
      <c r="P80" s="2735"/>
      <c r="Q80" s="2730"/>
      <c r="R80" s="2716"/>
      <c r="S80" s="2716"/>
      <c r="T80" s="2716"/>
      <c r="U80" s="2716"/>
      <c r="V80" s="2716"/>
      <c r="W80" s="2716"/>
      <c r="X80" s="2716"/>
      <c r="Y80" s="2716"/>
      <c r="Z80" s="2716"/>
      <c r="AA80" s="2716"/>
      <c r="AB80" s="2716"/>
      <c r="AC80" s="271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5"/>
      <c r="O81" s="2745"/>
      <c r="P81" s="2735"/>
      <c r="Q81" s="2730"/>
      <c r="R81" s="2716"/>
      <c r="S81" s="2716"/>
      <c r="T81" s="2716"/>
      <c r="U81" s="2716"/>
      <c r="V81" s="2716"/>
      <c r="W81" s="2716"/>
      <c r="X81" s="2716"/>
      <c r="Y81" s="2716"/>
      <c r="Z81" s="2716"/>
      <c r="AA81" s="2716"/>
      <c r="AB81" s="2716"/>
      <c r="AC81" s="2716"/>
    </row>
    <row r="82" spans="1:29" ht="15.75" thickTop="1">
      <c r="A82" s="483"/>
      <c r="B82" s="495" t="s">
        <v>1776</v>
      </c>
      <c r="C82" s="608" t="s">
        <v>1796</v>
      </c>
      <c r="D82" s="608" t="s">
        <v>1797</v>
      </c>
      <c r="E82" s="608" t="s">
        <v>1798</v>
      </c>
      <c r="F82" s="608" t="s">
        <v>1799</v>
      </c>
      <c r="G82" s="608" t="s">
        <v>1800</v>
      </c>
      <c r="H82" s="488"/>
      <c r="I82" s="488"/>
      <c r="J82" s="488"/>
      <c r="K82" s="488"/>
      <c r="L82" s="488"/>
      <c r="M82" s="1129"/>
      <c r="N82" s="2745"/>
      <c r="O82" s="2745"/>
      <c r="P82" s="2735"/>
      <c r="Q82" s="2730"/>
      <c r="R82" s="2716"/>
      <c r="S82" s="2716"/>
      <c r="T82" s="2716"/>
      <c r="U82" s="2716"/>
      <c r="V82" s="2716"/>
      <c r="W82" s="2716"/>
      <c r="X82" s="2716"/>
      <c r="Y82" s="2716"/>
      <c r="Z82" s="2716"/>
      <c r="AA82" s="2716"/>
      <c r="AB82" s="2716"/>
      <c r="AC82" s="271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5"/>
      <c r="O83" s="2745"/>
      <c r="P83" s="2735"/>
      <c r="Q83" s="2730"/>
      <c r="R83" s="2716"/>
      <c r="S83" s="2716"/>
      <c r="T83" s="2716"/>
      <c r="U83" s="2716"/>
      <c r="V83" s="2716"/>
      <c r="W83" s="2716"/>
      <c r="X83" s="2716"/>
      <c r="Y83" s="2716"/>
      <c r="Z83" s="2716"/>
      <c r="AA83" s="2716"/>
      <c r="AB83" s="2716"/>
      <c r="AC83" s="2716"/>
    </row>
    <row r="84" spans="1:29" ht="15.75" thickTop="1">
      <c r="A84" s="483"/>
      <c r="B84" s="487" t="s">
        <v>1730</v>
      </c>
      <c r="C84" s="527" t="s">
        <v>1718</v>
      </c>
      <c r="D84" s="527" t="s">
        <v>1719</v>
      </c>
      <c r="E84" s="527" t="s">
        <v>1720</v>
      </c>
      <c r="F84" s="527" t="s">
        <v>1721</v>
      </c>
      <c r="G84" s="527" t="s">
        <v>1722</v>
      </c>
      <c r="H84" s="488"/>
      <c r="I84" s="488"/>
      <c r="J84" s="488"/>
      <c r="K84" s="489"/>
      <c r="L84" s="490"/>
      <c r="M84" s="491"/>
      <c r="N84" s="2744"/>
      <c r="O84" s="2744"/>
      <c r="P84" s="2735"/>
      <c r="Q84" s="2730"/>
      <c r="R84" s="2716"/>
      <c r="S84" s="2716"/>
      <c r="T84" s="2716"/>
      <c r="U84" s="2716"/>
      <c r="V84" s="2716"/>
      <c r="W84" s="2716"/>
      <c r="X84" s="2716"/>
      <c r="Y84" s="2716"/>
      <c r="Z84" s="2716"/>
      <c r="AA84" s="2716"/>
      <c r="AB84" s="2716"/>
      <c r="AC84" s="271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5"/>
      <c r="O85" s="2745"/>
      <c r="P85" s="2735"/>
      <c r="Q85" s="2730"/>
      <c r="R85" s="2716"/>
      <c r="S85" s="2716"/>
      <c r="T85" s="2716"/>
      <c r="U85" s="2716"/>
      <c r="V85" s="2716"/>
      <c r="W85" s="2716"/>
      <c r="X85" s="2716"/>
      <c r="Y85" s="2716"/>
      <c r="Z85" s="2716"/>
      <c r="AA85" s="2716"/>
      <c r="AB85" s="2716"/>
      <c r="AC85" s="2716"/>
    </row>
    <row r="86" spans="1:29" s="108" customFormat="1" ht="15.75" thickTop="1">
      <c r="A86" s="528"/>
      <c r="B86" s="487" t="s">
        <v>1801</v>
      </c>
      <c r="C86" s="503"/>
      <c r="D86" s="503"/>
      <c r="E86" s="503"/>
      <c r="F86" s="503"/>
      <c r="G86" s="503"/>
      <c r="H86" s="503"/>
      <c r="I86" s="503"/>
      <c r="J86" s="503"/>
      <c r="K86" s="503"/>
      <c r="L86" s="529"/>
      <c r="M86" s="530"/>
      <c r="N86" s="2743"/>
      <c r="O86" s="2743"/>
      <c r="P86" s="2735"/>
      <c r="Q86" s="2730"/>
      <c r="R86" s="2652"/>
      <c r="S86" s="2652"/>
      <c r="T86" s="2652"/>
      <c r="U86" s="2652"/>
      <c r="V86" s="2652"/>
      <c r="W86" s="2652"/>
      <c r="X86" s="2652"/>
      <c r="Y86" s="2652"/>
      <c r="Z86" s="2652"/>
      <c r="AA86" s="2652"/>
      <c r="AB86" s="2652"/>
      <c r="AC86" s="2652"/>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8"/>
      <c r="B88" s="487" t="str">
        <f>B26</f>
        <v>平面位置/可视性</v>
      </c>
      <c r="C88" s="503"/>
      <c r="D88" s="503"/>
      <c r="E88" s="503"/>
      <c r="F88" s="1921"/>
      <c r="G88" s="503"/>
      <c r="H88" s="503"/>
      <c r="I88" s="503"/>
      <c r="J88" s="503"/>
      <c r="K88" s="503"/>
      <c r="L88" s="503"/>
      <c r="M88" s="530"/>
      <c r="N88" s="2743"/>
      <c r="O88" s="2743"/>
      <c r="P88" s="2735"/>
      <c r="Q88" s="2730"/>
      <c r="R88" s="2652"/>
      <c r="S88" s="2652"/>
      <c r="T88" s="2652"/>
      <c r="U88" s="2652"/>
      <c r="V88" s="2652"/>
      <c r="W88" s="2652"/>
      <c r="X88" s="2652"/>
      <c r="Y88" s="2652"/>
      <c r="Z88" s="2652"/>
      <c r="AA88" s="2652"/>
      <c r="AB88" s="2652"/>
      <c r="AC88" s="2652"/>
    </row>
    <row r="89" spans="1:29" s="108" customFormat="1" ht="15.75" thickBot="1">
      <c r="A89" s="528"/>
      <c r="B89" s="492"/>
      <c r="C89" s="509"/>
      <c r="D89" s="485"/>
      <c r="E89" s="485"/>
      <c r="F89" s="485"/>
      <c r="G89" s="485"/>
      <c r="H89" s="485"/>
      <c r="I89" s="485"/>
      <c r="J89" s="485"/>
      <c r="K89" s="485"/>
      <c r="L89" s="485"/>
      <c r="M89" s="485"/>
      <c r="N89" s="2745"/>
      <c r="O89" s="2745"/>
      <c r="P89" s="2735"/>
      <c r="Q89" s="2730"/>
      <c r="R89" s="2652"/>
      <c r="S89" s="2652"/>
      <c r="T89" s="2652"/>
      <c r="U89" s="2652"/>
      <c r="V89" s="2652"/>
      <c r="W89" s="2652"/>
      <c r="X89" s="2652"/>
      <c r="Y89" s="2652"/>
      <c r="Z89" s="2652"/>
      <c r="AA89" s="2652"/>
      <c r="AB89" s="2652"/>
      <c r="AC89" s="2652"/>
    </row>
    <row r="90" spans="1:29" s="422" customFormat="1" ht="15.75" thickTop="1">
      <c r="A90" s="502"/>
      <c r="B90" s="487" t="str">
        <f>B27</f>
        <v>人流量</v>
      </c>
      <c r="C90" s="503"/>
      <c r="D90" s="503"/>
      <c r="E90" s="503"/>
      <c r="F90" s="503"/>
      <c r="G90" s="503"/>
      <c r="H90" s="504"/>
      <c r="I90" s="504"/>
      <c r="J90" s="504"/>
      <c r="K90" s="504"/>
      <c r="L90" s="505"/>
      <c r="M90" s="506"/>
      <c r="N90" s="2746"/>
      <c r="O90" s="2746"/>
      <c r="P90" s="2736"/>
      <c r="Q90" s="2737"/>
      <c r="R90" s="2738"/>
      <c r="S90" s="2738"/>
      <c r="T90" s="2738"/>
      <c r="U90" s="2738"/>
      <c r="V90" s="2738"/>
      <c r="W90" s="2738"/>
      <c r="X90" s="2738"/>
      <c r="Y90" s="2738"/>
      <c r="Z90" s="2738"/>
      <c r="AA90" s="2738"/>
      <c r="AB90" s="2738"/>
      <c r="AC90" s="273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3"/>
      <c r="B92" s="487" t="str">
        <f>B28</f>
        <v>楼层</v>
      </c>
      <c r="C92" s="503"/>
      <c r="D92" s="503"/>
      <c r="E92" s="503"/>
      <c r="F92" s="503"/>
      <c r="G92" s="503"/>
      <c r="H92" s="503"/>
      <c r="I92" s="503"/>
      <c r="J92" s="503"/>
      <c r="K92" s="503"/>
      <c r="L92" s="529"/>
      <c r="M92" s="530"/>
      <c r="N92" s="2744"/>
      <c r="O92" s="2744"/>
      <c r="P92" s="2735"/>
      <c r="Q92" s="2730"/>
      <c r="R92" s="2716"/>
      <c r="S92" s="2716"/>
      <c r="T92" s="2716"/>
      <c r="U92" s="2716"/>
      <c r="V92" s="2716"/>
      <c r="W92" s="2716"/>
      <c r="X92" s="2716"/>
      <c r="Y92" s="2716"/>
      <c r="Z92" s="2716"/>
      <c r="AA92" s="2716"/>
      <c r="AB92" s="2716"/>
      <c r="AC92" s="2716"/>
    </row>
    <row r="93" spans="1:29" ht="15.75" thickBot="1">
      <c r="A93" s="483"/>
      <c r="B93" s="492"/>
      <c r="C93" s="485"/>
      <c r="D93" s="485"/>
      <c r="E93" s="485"/>
      <c r="F93" s="485"/>
      <c r="G93" s="485"/>
      <c r="H93" s="485"/>
      <c r="I93" s="485"/>
      <c r="J93" s="485"/>
      <c r="K93" s="485"/>
      <c r="L93" s="485"/>
      <c r="M93" s="486"/>
      <c r="N93" s="2745"/>
      <c r="O93" s="2745"/>
      <c r="P93" s="2735"/>
      <c r="Q93" s="2730"/>
      <c r="R93" s="2716"/>
      <c r="S93" s="2716"/>
      <c r="T93" s="2716"/>
      <c r="U93" s="2716"/>
      <c r="V93" s="2716"/>
      <c r="W93" s="2716"/>
      <c r="X93" s="2716"/>
      <c r="Y93" s="2716"/>
      <c r="Z93" s="2716"/>
      <c r="AA93" s="2716"/>
      <c r="AB93" s="2716"/>
      <c r="AC93" s="2716"/>
    </row>
    <row r="94" spans="1:29" ht="15.75" thickTop="1">
      <c r="A94" s="483"/>
      <c r="B94" s="487">
        <f>B29</f>
        <v>111</v>
      </c>
      <c r="C94" s="503"/>
      <c r="D94" s="503"/>
      <c r="E94" s="503"/>
      <c r="F94" s="503"/>
      <c r="G94" s="532"/>
      <c r="H94" s="532"/>
      <c r="I94" s="532"/>
      <c r="J94" s="532"/>
      <c r="K94" s="533"/>
      <c r="L94" s="534"/>
      <c r="M94" s="535"/>
      <c r="N94" s="2744"/>
      <c r="O94" s="2744"/>
      <c r="P94" s="2735"/>
      <c r="Q94" s="2730"/>
      <c r="R94" s="2716"/>
      <c r="S94" s="2716"/>
      <c r="T94" s="2716"/>
      <c r="U94" s="2716"/>
      <c r="V94" s="2716"/>
      <c r="W94" s="2716"/>
      <c r="X94" s="2716"/>
      <c r="Y94" s="2716"/>
      <c r="Z94" s="2716"/>
      <c r="AA94" s="2716"/>
      <c r="AB94" s="2716"/>
      <c r="AC94" s="2716"/>
    </row>
    <row r="95" spans="1:29" ht="15.75" thickBot="1">
      <c r="A95" s="483"/>
      <c r="B95" s="492"/>
      <c r="C95" s="509"/>
      <c r="D95" s="485"/>
      <c r="E95" s="485"/>
      <c r="F95" s="485"/>
      <c r="G95" s="485"/>
      <c r="H95" s="485"/>
      <c r="I95" s="485"/>
      <c r="J95" s="485"/>
      <c r="K95" s="485"/>
      <c r="L95" s="485"/>
      <c r="M95" s="486"/>
      <c r="N95" s="2745"/>
      <c r="O95" s="2745"/>
      <c r="P95" s="2735"/>
      <c r="Q95" s="2730"/>
      <c r="R95" s="2716"/>
      <c r="S95" s="2716"/>
      <c r="T95" s="2716"/>
      <c r="U95" s="2716"/>
      <c r="V95" s="2716"/>
      <c r="W95" s="2716"/>
      <c r="X95" s="2716"/>
      <c r="Y95" s="2716"/>
      <c r="Z95" s="2716"/>
      <c r="AA95" s="2716"/>
      <c r="AB95" s="2716"/>
      <c r="AC95" s="2716"/>
    </row>
    <row r="96" spans="1:29" ht="15.75" thickTop="1">
      <c r="A96" s="483"/>
      <c r="B96" s="487">
        <f>B30</f>
        <v>111</v>
      </c>
      <c r="C96" s="503"/>
      <c r="D96" s="503"/>
      <c r="E96" s="503"/>
      <c r="F96" s="503"/>
      <c r="G96" s="532"/>
      <c r="H96" s="532"/>
      <c r="I96" s="532"/>
      <c r="J96" s="532"/>
      <c r="K96" s="533"/>
      <c r="L96" s="534"/>
      <c r="M96" s="535"/>
      <c r="N96" s="2744"/>
      <c r="O96" s="2744"/>
      <c r="P96" s="2735"/>
      <c r="Q96" s="2730"/>
      <c r="R96" s="2716"/>
      <c r="S96" s="2716"/>
      <c r="T96" s="2716"/>
      <c r="U96" s="2716"/>
      <c r="V96" s="2716"/>
      <c r="W96" s="2716"/>
      <c r="X96" s="2716"/>
      <c r="Y96" s="2716"/>
      <c r="Z96" s="2716"/>
      <c r="AA96" s="2716"/>
      <c r="AB96" s="2716"/>
      <c r="AC96" s="2716"/>
    </row>
    <row r="97" spans="1:29" ht="15.75" thickBot="1">
      <c r="A97" s="483"/>
      <c r="B97" s="492"/>
      <c r="C97" s="509"/>
      <c r="D97" s="485"/>
      <c r="E97" s="485"/>
      <c r="F97" s="485"/>
      <c r="G97" s="485"/>
      <c r="H97" s="485"/>
      <c r="I97" s="485"/>
      <c r="J97" s="485"/>
      <c r="K97" s="485"/>
      <c r="L97" s="485"/>
      <c r="M97" s="486"/>
      <c r="N97" s="2745"/>
      <c r="O97" s="2745"/>
      <c r="P97" s="2735"/>
      <c r="Q97" s="2730"/>
      <c r="R97" s="2716"/>
      <c r="S97" s="2716"/>
      <c r="T97" s="2716"/>
      <c r="U97" s="2716"/>
      <c r="V97" s="2716"/>
      <c r="W97" s="2716"/>
      <c r="X97" s="2716"/>
      <c r="Y97" s="2716"/>
      <c r="Z97" s="2716"/>
      <c r="AA97" s="2716"/>
      <c r="AB97" s="2716"/>
      <c r="AC97" s="2716"/>
    </row>
    <row r="98" spans="1:29" ht="15.75" thickTop="1">
      <c r="A98" s="483"/>
      <c r="B98" s="495">
        <f>B31</f>
        <v>111</v>
      </c>
      <c r="C98" s="503"/>
      <c r="D98" s="503"/>
      <c r="E98" s="503"/>
      <c r="F98" s="503"/>
      <c r="G98" s="536"/>
      <c r="H98" s="536"/>
      <c r="I98" s="536"/>
      <c r="J98" s="536"/>
      <c r="K98" s="537"/>
      <c r="L98" s="538"/>
      <c r="M98" s="539"/>
      <c r="N98" s="2744"/>
      <c r="O98" s="2744"/>
      <c r="P98" s="2735"/>
      <c r="Q98" s="2730"/>
      <c r="R98" s="2716"/>
      <c r="S98" s="2716"/>
      <c r="T98" s="2716"/>
      <c r="U98" s="2716"/>
      <c r="V98" s="2716"/>
      <c r="W98" s="2716"/>
      <c r="X98" s="2716"/>
      <c r="Y98" s="2716"/>
      <c r="Z98" s="2716"/>
      <c r="AA98" s="2716"/>
      <c r="AB98" s="2716"/>
      <c r="AC98" s="2716"/>
    </row>
    <row r="99" spans="1:29" ht="15.75" thickBot="1">
      <c r="A99" s="1922"/>
      <c r="B99" s="518"/>
      <c r="C99" s="519"/>
      <c r="D99" s="519"/>
      <c r="E99" s="519"/>
      <c r="F99" s="519"/>
      <c r="G99" s="540"/>
      <c r="H99" s="540"/>
      <c r="I99" s="540"/>
      <c r="J99" s="540"/>
      <c r="K99" s="540"/>
      <c r="L99" s="540"/>
      <c r="M99" s="541"/>
      <c r="N99" s="2745"/>
      <c r="O99" s="2745"/>
      <c r="P99" s="2735"/>
      <c r="Q99" s="2730"/>
      <c r="R99" s="2716"/>
      <c r="S99" s="2716"/>
      <c r="T99" s="2716"/>
      <c r="U99" s="2716"/>
      <c r="V99" s="2716"/>
      <c r="W99" s="2716"/>
      <c r="X99" s="2716"/>
      <c r="Y99" s="2716"/>
      <c r="Z99" s="2716"/>
      <c r="AA99" s="2716"/>
      <c r="AB99" s="2716"/>
      <c r="AC99" s="2716"/>
    </row>
    <row r="100" spans="1:29">
      <c r="A100" s="476" t="s">
        <v>1691</v>
      </c>
      <c r="B100" s="477" t="s">
        <v>1802</v>
      </c>
      <c r="C100" s="479"/>
      <c r="D100" s="479"/>
      <c r="E100" s="479"/>
      <c r="F100" s="479"/>
      <c r="G100" s="479"/>
      <c r="H100" s="479"/>
      <c r="I100" s="479"/>
      <c r="J100" s="479"/>
      <c r="K100" s="480"/>
      <c r="L100" s="481"/>
      <c r="M100" s="482"/>
      <c r="N100" s="2744"/>
      <c r="O100" s="2744"/>
      <c r="P100" s="2735"/>
      <c r="Q100" s="2730"/>
      <c r="R100" s="2716"/>
      <c r="S100" s="2716"/>
      <c r="T100" s="2716"/>
      <c r="U100" s="2716"/>
      <c r="V100" s="2716"/>
      <c r="W100" s="2716"/>
      <c r="X100" s="2716"/>
      <c r="Y100" s="2716"/>
      <c r="Z100" s="2716"/>
      <c r="AA100" s="2716"/>
      <c r="AB100" s="2716"/>
      <c r="AC100" s="271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2"/>
      <c r="B103" s="543"/>
      <c r="C103" s="544"/>
      <c r="D103" s="544"/>
      <c r="E103" s="544"/>
      <c r="F103" s="544"/>
      <c r="G103" s="544"/>
      <c r="H103" s="544"/>
      <c r="I103" s="544"/>
      <c r="J103" s="545"/>
      <c r="K103" s="545"/>
      <c r="L103" s="546"/>
      <c r="M103" s="547"/>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2"/>
      <c r="B104" s="492"/>
      <c r="C104" s="509"/>
      <c r="D104" s="485"/>
      <c r="E104" s="485"/>
      <c r="F104" s="485"/>
      <c r="G104" s="485"/>
      <c r="H104" s="485"/>
      <c r="I104" s="485"/>
      <c r="J104" s="485"/>
      <c r="K104" s="485"/>
      <c r="L104" s="485"/>
      <c r="M104" s="486"/>
      <c r="N104" s="2745"/>
      <c r="O104" s="2745"/>
      <c r="P104" s="2736"/>
      <c r="Q104" s="2737"/>
      <c r="R104" s="2738"/>
      <c r="S104" s="2738"/>
      <c r="T104" s="2738"/>
      <c r="U104" s="2738"/>
      <c r="V104" s="2738"/>
      <c r="W104" s="2738"/>
      <c r="X104" s="2738"/>
      <c r="Y104" s="2738"/>
      <c r="Z104" s="2738"/>
      <c r="AA104" s="2738"/>
      <c r="AB104" s="2738"/>
      <c r="AC104" s="2738"/>
    </row>
    <row r="105" spans="1:29" ht="15" thickTop="1">
      <c r="A105" s="548"/>
      <c r="B105" s="487" t="s">
        <v>1735</v>
      </c>
      <c r="C105" s="503"/>
      <c r="D105" s="503"/>
      <c r="E105" s="532"/>
      <c r="F105" s="532"/>
      <c r="G105" s="532"/>
      <c r="H105" s="532"/>
      <c r="I105" s="532"/>
      <c r="J105" s="532"/>
      <c r="K105" s="533"/>
      <c r="L105" s="534"/>
      <c r="M105" s="535"/>
      <c r="N105" s="2744"/>
      <c r="O105" s="2744"/>
      <c r="P105" s="2735"/>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8"/>
      <c r="B107" s="487" t="s">
        <v>1737</v>
      </c>
      <c r="C107" s="503"/>
      <c r="D107" s="503"/>
      <c r="E107" s="503"/>
      <c r="F107" s="532"/>
      <c r="G107" s="532"/>
      <c r="H107" s="532"/>
      <c r="I107" s="532"/>
      <c r="J107" s="532"/>
      <c r="K107" s="533"/>
      <c r="L107" s="534"/>
      <c r="M107" s="535"/>
      <c r="N107" s="2744"/>
      <c r="O107" s="2744"/>
      <c r="P107" s="2735"/>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4"/>
      <c r="O109" s="2744"/>
      <c r="P109" s="2735"/>
      <c r="Q109" s="2730"/>
      <c r="R109" s="2716"/>
      <c r="S109" s="2716"/>
      <c r="T109" s="2716"/>
      <c r="U109" s="2716"/>
      <c r="V109" s="2716"/>
      <c r="W109" s="2716"/>
      <c r="X109" s="2716"/>
      <c r="Y109" s="2716"/>
      <c r="Z109" s="2716"/>
      <c r="AA109" s="2716"/>
      <c r="AB109" s="2716"/>
      <c r="AC109" s="2716"/>
    </row>
    <row r="110" spans="1:29">
      <c r="A110" s="548"/>
      <c r="B110" s="495"/>
      <c r="C110" s="552">
        <v>0.5</v>
      </c>
      <c r="D110" s="552">
        <v>0.6</v>
      </c>
      <c r="E110" s="552">
        <v>0.7</v>
      </c>
      <c r="F110" s="552">
        <v>0.8</v>
      </c>
      <c r="G110" s="552">
        <v>0.9</v>
      </c>
      <c r="H110" s="552">
        <v>1.0001</v>
      </c>
      <c r="I110" s="571"/>
      <c r="J110" s="571"/>
      <c r="K110" s="572"/>
      <c r="L110" s="573"/>
      <c r="M110" s="574"/>
      <c r="N110" s="2744"/>
      <c r="O110" s="2744"/>
      <c r="P110" s="2735"/>
      <c r="Q110" s="2730"/>
      <c r="R110" s="2716"/>
      <c r="S110" s="2716"/>
      <c r="T110" s="2716"/>
      <c r="U110" s="2716"/>
      <c r="V110" s="2716"/>
      <c r="W110" s="2716"/>
      <c r="X110" s="2716"/>
      <c r="Y110" s="2716"/>
      <c r="Z110" s="2716"/>
      <c r="AA110" s="2716"/>
      <c r="AB110" s="2716"/>
      <c r="AC110" s="271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2"/>
      <c r="B112" s="487" t="s">
        <v>1739</v>
      </c>
      <c r="C112" s="503"/>
      <c r="D112" s="503"/>
      <c r="E112" s="503"/>
      <c r="F112" s="503"/>
      <c r="G112" s="503"/>
      <c r="H112" s="532"/>
      <c r="I112" s="532"/>
      <c r="J112" s="532"/>
      <c r="K112" s="533"/>
      <c r="L112" s="534"/>
      <c r="M112" s="535"/>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8"/>
      <c r="B114" s="487" t="s">
        <v>1803</v>
      </c>
      <c r="C114" s="503"/>
      <c r="D114" s="503"/>
      <c r="E114" s="532"/>
      <c r="F114" s="532"/>
      <c r="G114" s="532"/>
      <c r="H114" s="532"/>
      <c r="I114" s="532"/>
      <c r="J114" s="532"/>
      <c r="K114" s="533"/>
      <c r="L114" s="534"/>
      <c r="M114" s="535"/>
      <c r="N114" s="2744"/>
      <c r="O114" s="2744"/>
      <c r="P114" s="2735"/>
      <c r="Q114" s="2730"/>
      <c r="R114" s="2716"/>
      <c r="S114" s="2716"/>
      <c r="T114" s="2716"/>
      <c r="U114" s="2716"/>
      <c r="V114" s="2716"/>
      <c r="W114" s="2716"/>
      <c r="X114" s="2716"/>
      <c r="Y114" s="2716"/>
      <c r="Z114" s="2716"/>
      <c r="AA114" s="2716"/>
      <c r="AB114" s="2716"/>
      <c r="AC114" s="271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8"/>
      <c r="B116" s="487" t="s">
        <v>1804</v>
      </c>
      <c r="C116" s="503"/>
      <c r="D116" s="503"/>
      <c r="E116" s="503"/>
      <c r="F116" s="503"/>
      <c r="G116" s="503"/>
      <c r="H116" s="532"/>
      <c r="I116" s="532"/>
      <c r="J116" s="532"/>
      <c r="K116" s="533"/>
      <c r="L116" s="534"/>
      <c r="M116" s="535"/>
      <c r="N116" s="2744"/>
      <c r="O116" s="2744"/>
      <c r="P116" s="2735"/>
      <c r="Q116" s="2730"/>
      <c r="R116" s="2716"/>
      <c r="S116" s="2716"/>
      <c r="T116" s="2716"/>
      <c r="U116" s="2716"/>
      <c r="V116" s="2716"/>
      <c r="W116" s="2716"/>
      <c r="X116" s="2716"/>
      <c r="Y116" s="2716"/>
      <c r="Z116" s="2716"/>
      <c r="AA116" s="2716"/>
      <c r="AB116" s="2716"/>
      <c r="AC116" s="271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5"/>
      <c r="O117" s="2745"/>
      <c r="P117" s="2735"/>
      <c r="Q117" s="2730"/>
      <c r="R117" s="2716"/>
      <c r="S117" s="2716"/>
      <c r="T117" s="2716"/>
      <c r="U117" s="2716"/>
      <c r="V117" s="2716"/>
      <c r="W117" s="2716"/>
      <c r="X117" s="2716"/>
      <c r="Y117" s="2716"/>
      <c r="Z117" s="2716"/>
      <c r="AA117" s="2716"/>
      <c r="AB117" s="2716"/>
      <c r="AC117" s="2716"/>
    </row>
    <row r="118" spans="1:29" ht="15" thickTop="1">
      <c r="A118" s="548"/>
      <c r="B118" s="487" t="s">
        <v>1805</v>
      </c>
      <c r="C118" s="575"/>
      <c r="D118" s="575"/>
      <c r="E118" s="575"/>
      <c r="F118" s="575"/>
      <c r="G118" s="575"/>
      <c r="H118" s="504"/>
      <c r="I118" s="504"/>
      <c r="J118" s="504"/>
      <c r="K118" s="504"/>
      <c r="L118" s="505"/>
      <c r="M118" s="506"/>
      <c r="N118" s="2744"/>
      <c r="O118" s="2744"/>
      <c r="P118" s="2735"/>
      <c r="Q118" s="2730"/>
      <c r="R118" s="2716"/>
      <c r="S118" s="2716"/>
      <c r="T118" s="2716"/>
      <c r="U118" s="2716"/>
      <c r="V118" s="2716"/>
      <c r="W118" s="2716"/>
      <c r="X118" s="2716"/>
      <c r="Y118" s="2716"/>
      <c r="Z118" s="2716"/>
      <c r="AA118" s="2716"/>
      <c r="AB118" s="2716"/>
      <c r="AC118" s="2716"/>
    </row>
    <row r="119" spans="1:29" ht="15.75" thickBot="1">
      <c r="A119" s="483"/>
      <c r="B119" s="492"/>
      <c r="C119" s="509"/>
      <c r="D119" s="485"/>
      <c r="E119" s="485"/>
      <c r="F119" s="485"/>
      <c r="G119" s="485"/>
      <c r="H119" s="485"/>
      <c r="I119" s="485"/>
      <c r="J119" s="485"/>
      <c r="K119" s="485"/>
      <c r="L119" s="485"/>
      <c r="M119" s="486"/>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2"/>
      <c r="B120" s="487" t="s">
        <v>1806</v>
      </c>
      <c r="C120" s="532"/>
      <c r="D120" s="532"/>
      <c r="E120" s="532"/>
      <c r="F120" s="532"/>
      <c r="G120" s="504"/>
      <c r="H120" s="504"/>
      <c r="I120" s="504"/>
      <c r="J120" s="504"/>
      <c r="K120" s="504"/>
      <c r="L120" s="505"/>
      <c r="M120" s="506"/>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8"/>
      <c r="B122" s="487" t="s">
        <v>1741</v>
      </c>
      <c r="C122" s="503"/>
      <c r="D122" s="503"/>
      <c r="E122" s="503"/>
      <c r="F122" s="532"/>
      <c r="G122" s="532"/>
      <c r="H122" s="532"/>
      <c r="I122" s="532"/>
      <c r="J122" s="532"/>
      <c r="K122" s="533"/>
      <c r="L122" s="534"/>
      <c r="M122" s="535"/>
      <c r="N122" s="2744"/>
      <c r="O122" s="2744"/>
      <c r="P122" s="2735"/>
      <c r="Q122" s="2730"/>
      <c r="R122" s="2716"/>
      <c r="S122" s="2716"/>
      <c r="T122" s="2716"/>
      <c r="U122" s="2716"/>
      <c r="V122" s="2716"/>
      <c r="W122" s="2716"/>
      <c r="X122" s="2716"/>
      <c r="Y122" s="2716"/>
      <c r="Z122" s="2716"/>
      <c r="AA122" s="2716"/>
      <c r="AB122" s="2716"/>
      <c r="AC122" s="271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4"/>
      <c r="O124" s="2744"/>
      <c r="P124" s="2736"/>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2"/>
      <c r="B126" s="487">
        <f>B44</f>
        <v>111</v>
      </c>
      <c r="C126" s="503"/>
      <c r="D126" s="503"/>
      <c r="E126" s="503"/>
      <c r="F126" s="503"/>
      <c r="G126" s="503"/>
      <c r="H126" s="504"/>
      <c r="I126" s="504"/>
      <c r="J126" s="504"/>
      <c r="K126" s="504"/>
      <c r="L126" s="505"/>
      <c r="M126" s="506"/>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2"/>
      <c r="B127" s="492"/>
      <c r="C127" s="509"/>
      <c r="D127" s="485"/>
      <c r="E127" s="485"/>
      <c r="F127" s="485"/>
      <c r="G127" s="509"/>
      <c r="H127" s="511"/>
      <c r="I127" s="511"/>
      <c r="J127" s="511"/>
      <c r="K127" s="511"/>
      <c r="L127" s="511"/>
      <c r="M127" s="512"/>
      <c r="N127" s="2746"/>
      <c r="O127" s="2746"/>
      <c r="P127" s="2736"/>
      <c r="Q127" s="2737"/>
      <c r="R127" s="2738"/>
      <c r="S127" s="2738"/>
      <c r="T127" s="2738"/>
      <c r="U127" s="2738"/>
      <c r="V127" s="2738"/>
      <c r="W127" s="2738"/>
      <c r="X127" s="2738"/>
      <c r="Y127" s="2738"/>
      <c r="Z127" s="2738"/>
      <c r="AA127" s="2738"/>
      <c r="AB127" s="2738"/>
      <c r="AC127" s="2738"/>
    </row>
    <row r="128" spans="1:29" ht="15" thickTop="1">
      <c r="A128" s="548"/>
      <c r="B128" s="487">
        <f>B45</f>
        <v>111</v>
      </c>
      <c r="C128" s="503"/>
      <c r="D128" s="503"/>
      <c r="E128" s="503"/>
      <c r="F128" s="503"/>
      <c r="G128" s="532"/>
      <c r="H128" s="532"/>
      <c r="I128" s="532"/>
      <c r="J128" s="532"/>
      <c r="K128" s="533"/>
      <c r="L128" s="534"/>
      <c r="M128" s="535"/>
      <c r="N128" s="2744"/>
      <c r="O128" s="2744"/>
      <c r="P128" s="2735"/>
      <c r="Q128" s="2730"/>
      <c r="R128" s="2716"/>
      <c r="S128" s="2716"/>
      <c r="T128" s="2716"/>
      <c r="U128" s="2716"/>
      <c r="V128" s="2716"/>
      <c r="W128" s="2716"/>
      <c r="X128" s="2716"/>
      <c r="Y128" s="2716"/>
      <c r="Z128" s="2716"/>
      <c r="AA128" s="2716"/>
      <c r="AB128" s="2716"/>
      <c r="AC128" s="2716"/>
    </row>
    <row r="129" spans="1:29" ht="15.75" thickBot="1">
      <c r="A129" s="483"/>
      <c r="B129" s="492"/>
      <c r="C129" s="509"/>
      <c r="D129" s="485"/>
      <c r="E129" s="485"/>
      <c r="F129" s="485"/>
      <c r="G129" s="485"/>
      <c r="H129" s="485"/>
      <c r="I129" s="485"/>
      <c r="J129" s="485"/>
      <c r="K129" s="485"/>
      <c r="L129" s="485"/>
      <c r="M129" s="486"/>
      <c r="N129" s="2745"/>
      <c r="O129" s="2745"/>
      <c r="P129" s="2735"/>
      <c r="Q129" s="2730"/>
      <c r="R129" s="2716"/>
      <c r="S129" s="2716"/>
      <c r="T129" s="2716"/>
      <c r="U129" s="2716"/>
      <c r="V129" s="2716"/>
      <c r="W129" s="2716"/>
      <c r="X129" s="2716"/>
      <c r="Y129" s="2716"/>
      <c r="Z129" s="2716"/>
      <c r="AA129" s="2716"/>
      <c r="AB129" s="2716"/>
      <c r="AC129" s="2716"/>
    </row>
    <row r="130" spans="1:29" ht="15" thickTop="1">
      <c r="A130" s="548"/>
      <c r="B130" s="495">
        <f>B46</f>
        <v>111</v>
      </c>
      <c r="C130" s="503"/>
      <c r="D130" s="503"/>
      <c r="E130" s="503"/>
      <c r="F130" s="503"/>
      <c r="G130" s="536"/>
      <c r="H130" s="536"/>
      <c r="I130" s="536"/>
      <c r="J130" s="536"/>
      <c r="K130" s="472"/>
      <c r="L130" s="473"/>
      <c r="M130" s="539"/>
      <c r="N130" s="2744"/>
      <c r="O130" s="2744"/>
      <c r="P130" s="2735"/>
      <c r="Q130" s="2730"/>
      <c r="R130" s="2716"/>
      <c r="S130" s="2716"/>
      <c r="T130" s="2716"/>
      <c r="U130" s="2716"/>
      <c r="V130" s="2716"/>
      <c r="W130" s="2716"/>
      <c r="X130" s="2716"/>
      <c r="Y130" s="2716"/>
      <c r="Z130" s="2716"/>
      <c r="AA130" s="2716"/>
      <c r="AB130" s="2716"/>
      <c r="AC130" s="2716"/>
    </row>
    <row r="131" spans="1:29" ht="15.75" thickBot="1">
      <c r="A131" s="1922"/>
      <c r="B131" s="518"/>
      <c r="C131" s="519"/>
      <c r="D131" s="519"/>
      <c r="E131" s="519"/>
      <c r="F131" s="519"/>
      <c r="G131" s="540"/>
      <c r="H131" s="540"/>
      <c r="I131" s="540"/>
      <c r="J131" s="540"/>
      <c r="K131" s="540"/>
      <c r="L131" s="540"/>
      <c r="M131" s="541"/>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1807</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IF(E1="项目模式",IF(C2="——",ROUND(C50*D3/10000,0),ROUND(C50*D3/10000,0)-D2),IF(E1="单套模式",IF(C2="——",ROUND(C50*D3/10000,4),ROUND(C50*D3/10000,4)-D2)))</f>
        <v>0</v>
      </c>
      <c r="C2" s="1878"/>
      <c r="D2" s="1115" t="e">
        <f ca="1">IF(E1="项目模式",SUMIF(INDIRECT("'"&amp;F2&amp;"'"&amp;"!A:A"),"承租人权益价值",INDIRECT("'"&amp;F2&amp;"'"&amp;"!c:c")),SUMIF(INDIRECT("'"&amp;F2&amp;"'"&amp;"!A:A"),"承租人权益价值（单套）",INDIRECT("'"&amp;F2&amp;"'"&amp;"!c:c")))</f>
        <v>#REF!</v>
      </c>
      <c r="E2" s="1879" t="s">
        <v>1460</v>
      </c>
      <c r="F2" s="1880"/>
      <c r="G2" s="908"/>
      <c r="H2" s="908"/>
      <c r="I2" s="908"/>
      <c r="J2" s="908"/>
      <c r="K2" s="908"/>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155268.5</v>
      </c>
      <c r="E3" s="1948"/>
      <c r="F3" s="909"/>
      <c r="G3" s="908"/>
      <c r="H3" s="908"/>
      <c r="I3" s="908"/>
      <c r="J3" s="908"/>
      <c r="K3" s="910"/>
      <c r="L3" s="2725"/>
      <c r="M3" s="2726"/>
      <c r="N3" s="2726"/>
      <c r="O3" s="2726"/>
      <c r="P3" s="699"/>
      <c r="Q3" s="699"/>
      <c r="R3" s="699"/>
      <c r="S3" s="699"/>
      <c r="T3" s="699"/>
      <c r="U3" s="699"/>
      <c r="V3" s="699"/>
      <c r="W3" s="699"/>
      <c r="X3" s="699"/>
      <c r="Y3" s="699"/>
      <c r="Z3" s="699"/>
      <c r="AA3" s="699"/>
      <c r="AB3" s="699"/>
      <c r="AC3" s="700"/>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800" t="s">
        <v>1772</v>
      </c>
      <c r="Q4" s="3801"/>
      <c r="R4" s="3795" t="s">
        <v>1768</v>
      </c>
      <c r="S4" s="3796"/>
      <c r="T4" s="3795" t="s">
        <v>1769</v>
      </c>
      <c r="U4" s="3796"/>
      <c r="V4" s="3804" t="s">
        <v>1770</v>
      </c>
      <c r="W4" s="3804"/>
      <c r="X4" s="1952"/>
      <c r="Y4" s="3795" t="s">
        <v>1772</v>
      </c>
      <c r="Z4" s="3796"/>
      <c r="AA4" s="3794" t="s">
        <v>1768</v>
      </c>
      <c r="AB4" s="3794" t="s">
        <v>1769</v>
      </c>
      <c r="AC4" s="3797" t="s">
        <v>1770</v>
      </c>
    </row>
    <row r="5" spans="1:29" ht="15">
      <c r="A5" s="358"/>
      <c r="B5" s="359"/>
      <c r="C5" s="3714" t="s">
        <v>1670</v>
      </c>
      <c r="D5" s="3715"/>
      <c r="E5" s="3747" t="s">
        <v>1671</v>
      </c>
      <c r="F5" s="3748"/>
      <c r="G5" s="3714" t="s">
        <v>1672</v>
      </c>
      <c r="H5" s="3715"/>
      <c r="I5" s="3714" t="s">
        <v>1673</v>
      </c>
      <c r="J5" s="3715"/>
      <c r="K5" s="559"/>
      <c r="L5" s="2706"/>
      <c r="M5" s="2707"/>
      <c r="N5" s="2707"/>
      <c r="O5" s="2707"/>
      <c r="P5" s="3802"/>
      <c r="Q5" s="3730"/>
      <c r="R5" s="3710"/>
      <c r="S5" s="3711"/>
      <c r="T5" s="3710"/>
      <c r="U5" s="3711"/>
      <c r="V5" s="3735"/>
      <c r="W5" s="3735"/>
      <c r="X5" s="1352"/>
      <c r="Y5" s="3710"/>
      <c r="Z5" s="3711"/>
      <c r="AA5" s="3704"/>
      <c r="AB5" s="3704"/>
      <c r="AC5" s="3798"/>
    </row>
    <row r="6" spans="1:29" ht="15.75" thickBot="1">
      <c r="A6" s="360"/>
      <c r="B6" s="361"/>
      <c r="C6" s="3758" t="s">
        <v>1674</v>
      </c>
      <c r="D6" s="3717"/>
      <c r="E6" s="3759" t="s">
        <v>1674</v>
      </c>
      <c r="F6" s="3721"/>
      <c r="G6" s="3758" t="s">
        <v>1674</v>
      </c>
      <c r="H6" s="3717"/>
      <c r="I6" s="3758" t="s">
        <v>1674</v>
      </c>
      <c r="J6" s="3717"/>
      <c r="K6" s="559" t="s">
        <v>1675</v>
      </c>
      <c r="L6" s="2706"/>
      <c r="M6" s="2707"/>
      <c r="N6" s="2707"/>
      <c r="O6" s="2707"/>
      <c r="P6" s="3803"/>
      <c r="Q6" s="3732"/>
      <c r="R6" s="3710"/>
      <c r="S6" s="3711"/>
      <c r="T6" s="3733"/>
      <c r="U6" s="3734"/>
      <c r="V6" s="3735"/>
      <c r="W6" s="3735"/>
      <c r="X6" s="1352"/>
      <c r="Y6" s="3733"/>
      <c r="Z6" s="3734"/>
      <c r="AA6" s="3705"/>
      <c r="AB6" s="3705"/>
      <c r="AC6" s="3799"/>
    </row>
    <row r="7" spans="1:29" s="108" customFormat="1" ht="15.75" thickBot="1">
      <c r="A7" s="362" t="s">
        <v>1676</v>
      </c>
      <c r="B7" s="363"/>
      <c r="C7" s="364">
        <f>'数据-取费表'!B2</f>
        <v>45124</v>
      </c>
      <c r="D7" s="365">
        <v>100</v>
      </c>
      <c r="E7" s="366"/>
      <c r="F7" s="367">
        <f>SUMIF(59:59,YEAR(E7)&amp;"-"&amp;MONTH(E7),60:60)</f>
        <v>0</v>
      </c>
      <c r="G7" s="366"/>
      <c r="H7" s="365">
        <f>SUMIF(59:59,YEAR(G7)&amp;"-"&amp;MONTH(G7),60:60)</f>
        <v>0</v>
      </c>
      <c r="I7" s="366"/>
      <c r="J7" s="365">
        <f>SUMIF(59:59,YEAR(I7)&amp;"-"&amp;MONTH(I7),60:60)</f>
        <v>0</v>
      </c>
      <c r="K7" s="560"/>
      <c r="L7" s="2708"/>
      <c r="M7" s="2709"/>
      <c r="N7" s="2709"/>
      <c r="O7" s="2709"/>
      <c r="P7" s="3805" t="s">
        <v>1677</v>
      </c>
      <c r="Q7" s="3736"/>
      <c r="R7" s="701" t="s">
        <v>14</v>
      </c>
      <c r="S7" s="702">
        <f t="shared" ref="S7:S15" si="0">F7</f>
        <v>0</v>
      </c>
      <c r="T7" s="701" t="s">
        <v>14</v>
      </c>
      <c r="U7" s="702">
        <f t="shared" ref="U7:U15" si="1">H7</f>
        <v>0</v>
      </c>
      <c r="V7" s="701" t="s">
        <v>14</v>
      </c>
      <c r="W7" s="702">
        <f t="shared" ref="W7:W15" si="2">J7</f>
        <v>0</v>
      </c>
      <c r="X7" s="703"/>
      <c r="Y7" s="3706" t="s">
        <v>1677</v>
      </c>
      <c r="Z7" s="3707"/>
      <c r="AA7" s="704" t="e">
        <f>D7/F7</f>
        <v>#DIV/0!</v>
      </c>
      <c r="AB7" s="704" t="e">
        <f>D7/H7</f>
        <v>#DIV/0!</v>
      </c>
      <c r="AC7" s="1953"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08"/>
      <c r="M8" s="2709"/>
      <c r="N8" s="2709"/>
      <c r="O8" s="2709"/>
      <c r="P8" s="3805" t="s">
        <v>1680</v>
      </c>
      <c r="Q8" s="3707"/>
      <c r="R8" s="701" t="s">
        <v>14</v>
      </c>
      <c r="S8" s="702">
        <f t="shared" si="0"/>
        <v>100</v>
      </c>
      <c r="T8" s="701" t="s">
        <v>14</v>
      </c>
      <c r="U8" s="702">
        <f t="shared" si="1"/>
        <v>100</v>
      </c>
      <c r="V8" s="701" t="s">
        <v>14</v>
      </c>
      <c r="W8" s="702">
        <f t="shared" si="2"/>
        <v>100</v>
      </c>
      <c r="X8" s="703"/>
      <c r="Y8" s="3706" t="s">
        <v>1680</v>
      </c>
      <c r="Z8" s="3707"/>
      <c r="AA8" s="704">
        <f t="shared" ref="AA8:AA47" si="3">D8/F8</f>
        <v>1</v>
      </c>
      <c r="AB8" s="704">
        <f t="shared" ref="AB8:AB47" si="4">D8/H8</f>
        <v>1</v>
      </c>
      <c r="AC8" s="1953">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08"/>
      <c r="M9" s="2709"/>
      <c r="N9" s="2709"/>
      <c r="O9" s="2709"/>
      <c r="P9" s="3746"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1953">
        <f t="shared" si="5"/>
        <v>1</v>
      </c>
    </row>
    <row r="10" spans="1:29" s="378" customFormat="1" ht="27">
      <c r="A10" s="374"/>
      <c r="B10" s="375" t="s">
        <v>1685</v>
      </c>
      <c r="C10" s="3425"/>
      <c r="D10" s="127">
        <v>100</v>
      </c>
      <c r="E10" s="3425"/>
      <c r="F10" s="127">
        <f>SUMIF(66:66,E10,67:67)-SUMIF(66:66,C10,67:67)+100</f>
        <v>100</v>
      </c>
      <c r="G10" s="3426"/>
      <c r="H10" s="127">
        <f>SUMIF(66:66,G10,67:67)-SUMIF(66:66,C10,67:67)+100</f>
        <v>100</v>
      </c>
      <c r="I10" s="3425"/>
      <c r="J10" s="127">
        <f>SUMIF(66:66,I10,67:67)-SUMIF(66:66,C10,67:67)+100</f>
        <v>100</v>
      </c>
      <c r="K10" s="560"/>
      <c r="L10" s="2710"/>
      <c r="M10" s="2711"/>
      <c r="N10" s="2711"/>
      <c r="O10" s="2711"/>
      <c r="P10" s="3746"/>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1953">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2"/>
      <c r="M11" s="2707"/>
      <c r="N11" s="2707"/>
      <c r="O11" s="2707"/>
      <c r="P11" s="3746"/>
      <c r="Q11" s="1340" t="str">
        <f t="shared" si="6"/>
        <v>容积率</v>
      </c>
      <c r="R11" s="701" t="s">
        <v>14</v>
      </c>
      <c r="S11" s="702">
        <f t="shared" si="0"/>
        <v>100</v>
      </c>
      <c r="T11" s="701" t="s">
        <v>14</v>
      </c>
      <c r="U11" s="702">
        <f t="shared" si="1"/>
        <v>100</v>
      </c>
      <c r="V11" s="701" t="s">
        <v>14</v>
      </c>
      <c r="W11" s="702">
        <f t="shared" si="2"/>
        <v>100</v>
      </c>
      <c r="X11" s="703"/>
      <c r="Y11" s="3679"/>
      <c r="Z11" s="52" t="str">
        <f t="shared" si="7"/>
        <v>容积率</v>
      </c>
      <c r="AA11" s="704">
        <f t="shared" si="3"/>
        <v>1</v>
      </c>
      <c r="AB11" s="704">
        <f t="shared" si="4"/>
        <v>1</v>
      </c>
      <c r="AC11" s="1953">
        <f t="shared" si="5"/>
        <v>1</v>
      </c>
    </row>
    <row r="12" spans="1:29" s="108" customFormat="1" ht="15">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2"/>
      <c r="L12" s="2708"/>
      <c r="M12" s="2709"/>
      <c r="N12" s="2709"/>
      <c r="O12" s="2709"/>
      <c r="P12" s="3746"/>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1953">
        <f>D12/J12</f>
        <v>1</v>
      </c>
    </row>
    <row r="13" spans="1:29" ht="15">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2"/>
      <c r="L13" s="2713"/>
      <c r="M13" s="2707"/>
      <c r="N13" s="2707"/>
      <c r="O13" s="2707"/>
      <c r="P13" s="3746"/>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1953">
        <f t="shared" si="5"/>
        <v>1</v>
      </c>
    </row>
    <row r="14" spans="1:29" ht="15.75" thickBot="1">
      <c r="A14" s="387"/>
      <c r="B14" s="1891">
        <v>111</v>
      </c>
      <c r="C14" s="388"/>
      <c r="D14" s="389">
        <v>100</v>
      </c>
      <c r="E14" s="576"/>
      <c r="F14" s="389">
        <f>SUMIF(75:75,E14,76:76)-SUMIF(75:75,C14,76:76)+100</f>
        <v>100</v>
      </c>
      <c r="G14" s="1954"/>
      <c r="H14" s="389">
        <f>SUMIF(75:75,G14,76:76)-SUMIF(75:75,C14,76:76)+100</f>
        <v>100</v>
      </c>
      <c r="I14" s="383"/>
      <c r="J14" s="389">
        <f>SUMIF(75:75,I14,76:76)-SUMIF(75:75,C14,76:76)+100</f>
        <v>100</v>
      </c>
      <c r="K14" s="562"/>
      <c r="L14" s="2713"/>
      <c r="M14" s="2707"/>
      <c r="N14" s="2707"/>
      <c r="O14" s="2707"/>
      <c r="P14" s="3746"/>
      <c r="Q14" s="1340">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1953">
        <f t="shared" si="5"/>
        <v>1</v>
      </c>
    </row>
    <row r="15" spans="1:29" ht="15">
      <c r="A15" s="391" t="s">
        <v>1687</v>
      </c>
      <c r="B15" s="577" t="s">
        <v>1808</v>
      </c>
      <c r="C15" s="1955">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3"/>
      <c r="M15" s="2707"/>
      <c r="N15" s="2707"/>
      <c r="O15" s="2707"/>
      <c r="P15" s="3766" t="s">
        <v>1688</v>
      </c>
      <c r="Q15" s="1349" t="str">
        <f t="shared" si="6"/>
        <v>办公集聚程度</v>
      </c>
      <c r="R15" s="705" t="s">
        <v>14</v>
      </c>
      <c r="S15" s="706">
        <f t="shared" si="0"/>
        <v>100</v>
      </c>
      <c r="T15" s="705" t="s">
        <v>14</v>
      </c>
      <c r="U15" s="706">
        <f t="shared" si="1"/>
        <v>100</v>
      </c>
      <c r="V15" s="705" t="s">
        <v>14</v>
      </c>
      <c r="W15" s="706">
        <f t="shared" si="2"/>
        <v>100</v>
      </c>
      <c r="X15" s="1352"/>
      <c r="Y15" s="3737" t="s">
        <v>1688</v>
      </c>
      <c r="Z15" s="1353" t="str">
        <f t="shared" si="7"/>
        <v>办公集聚程度</v>
      </c>
      <c r="AA15" s="1350">
        <f t="shared" si="3"/>
        <v>1</v>
      </c>
      <c r="AB15" s="1350">
        <f t="shared" si="4"/>
        <v>1</v>
      </c>
      <c r="AC15" s="1956">
        <f t="shared" si="5"/>
        <v>1</v>
      </c>
    </row>
    <row r="16" spans="1:29" ht="15">
      <c r="A16" s="379"/>
      <c r="B16" s="578"/>
      <c r="C16" s="1900"/>
      <c r="D16" s="399"/>
      <c r="E16" s="398"/>
      <c r="F16" s="399"/>
      <c r="G16" s="1900"/>
      <c r="H16" s="401"/>
      <c r="I16" s="398"/>
      <c r="J16" s="399"/>
      <c r="K16" s="564"/>
      <c r="L16" s="2713"/>
      <c r="M16" s="2707"/>
      <c r="N16" s="2707"/>
      <c r="O16" s="2707"/>
      <c r="P16" s="3767"/>
      <c r="Q16" s="1349"/>
      <c r="R16" s="705"/>
      <c r="S16" s="706"/>
      <c r="T16" s="705"/>
      <c r="U16" s="706"/>
      <c r="V16" s="705"/>
      <c r="W16" s="706"/>
      <c r="X16" s="1352"/>
      <c r="Y16" s="3738"/>
      <c r="Z16" s="1353"/>
      <c r="AA16" s="1350">
        <v>1</v>
      </c>
      <c r="AB16" s="1350">
        <v>1</v>
      </c>
      <c r="AC16" s="1956">
        <v>1</v>
      </c>
    </row>
    <row r="17" spans="1:29" ht="15">
      <c r="A17" s="379"/>
      <c r="B17" s="579" t="s">
        <v>1259</v>
      </c>
      <c r="C17" s="1957" t="str">
        <f>估价对象房地状况!C6</f>
        <v>较差</v>
      </c>
      <c r="D17" s="401">
        <v>100</v>
      </c>
      <c r="E17" s="405"/>
      <c r="F17" s="401">
        <f>SUMIF(79:79,E18,80:80)-SUMIF(79:79,C18,80:80)+100</f>
        <v>100</v>
      </c>
      <c r="G17" s="403"/>
      <c r="H17" s="406">
        <f>SUMIF(79:79,G18,80:80)-SUMIF(79:79,C18,80:80)+100</f>
        <v>100</v>
      </c>
      <c r="I17" s="403"/>
      <c r="J17" s="406">
        <f>SUMIF(79:79,I18,80:80)-SUMIF(79:79,C18,80:80)+100</f>
        <v>100</v>
      </c>
      <c r="K17" s="563"/>
      <c r="L17" s="2713"/>
      <c r="M17" s="2707"/>
      <c r="N17" s="2707"/>
      <c r="O17" s="2707"/>
      <c r="P17" s="3767"/>
      <c r="Q17" s="1349" t="str">
        <f>B17</f>
        <v>交通便捷度</v>
      </c>
      <c r="R17" s="705" t="s">
        <v>14</v>
      </c>
      <c r="S17" s="706">
        <f>F17</f>
        <v>100</v>
      </c>
      <c r="T17" s="705" t="s">
        <v>14</v>
      </c>
      <c r="U17" s="706">
        <f>H17</f>
        <v>100</v>
      </c>
      <c r="V17" s="705" t="s">
        <v>14</v>
      </c>
      <c r="W17" s="706">
        <f>J17</f>
        <v>100</v>
      </c>
      <c r="X17" s="1352"/>
      <c r="Y17" s="3738"/>
      <c r="Z17" s="1353" t="str">
        <f>Q17</f>
        <v>交通便捷度</v>
      </c>
      <c r="AA17" s="1350">
        <f t="shared" si="3"/>
        <v>1</v>
      </c>
      <c r="AB17" s="1350">
        <f t="shared" si="4"/>
        <v>1</v>
      </c>
      <c r="AC17" s="1956">
        <f t="shared" si="5"/>
        <v>1</v>
      </c>
    </row>
    <row r="18" spans="1:29" ht="15">
      <c r="A18" s="379"/>
      <c r="B18" s="580"/>
      <c r="C18" s="1958"/>
      <c r="D18" s="401"/>
      <c r="E18" s="1898"/>
      <c r="F18" s="401"/>
      <c r="G18" s="1899"/>
      <c r="H18" s="399"/>
      <c r="I18" s="1899"/>
      <c r="J18" s="399"/>
      <c r="K18" s="564"/>
      <c r="L18" s="2713"/>
      <c r="M18" s="2707"/>
      <c r="N18" s="2707"/>
      <c r="O18" s="2707"/>
      <c r="P18" s="3767"/>
      <c r="Q18" s="1349"/>
      <c r="R18" s="705"/>
      <c r="S18" s="706"/>
      <c r="T18" s="705"/>
      <c r="U18" s="706"/>
      <c r="V18" s="705"/>
      <c r="W18" s="706"/>
      <c r="X18" s="1352"/>
      <c r="Y18" s="3738"/>
      <c r="Z18" s="1353"/>
      <c r="AA18" s="1350">
        <v>1</v>
      </c>
      <c r="AB18" s="1350">
        <v>1</v>
      </c>
      <c r="AC18" s="1956">
        <v>1</v>
      </c>
    </row>
    <row r="19" spans="1:29" ht="15">
      <c r="A19" s="379"/>
      <c r="B19" s="579" t="s">
        <v>1809</v>
      </c>
      <c r="C19" s="1957" t="str">
        <f>估价对象房地状况!C7</f>
        <v>较差</v>
      </c>
      <c r="D19" s="406">
        <v>100</v>
      </c>
      <c r="E19" s="410"/>
      <c r="F19" s="406">
        <f>SUMIF(81:81,E20,82:82)-SUMIF(81:81,C20,82:82)+100</f>
        <v>100</v>
      </c>
      <c r="G19" s="408"/>
      <c r="H19" s="401">
        <f>SUMIF(81:81,G20,82:82)-SUMIF(81:81,C20,82:82)+100</f>
        <v>100</v>
      </c>
      <c r="I19" s="408"/>
      <c r="J19" s="401">
        <f>SUMIF(81:81,I20,82:82)-SUMIF(81:81,C20,82:82)+100</f>
        <v>100</v>
      </c>
      <c r="K19" s="563"/>
      <c r="L19" s="2713"/>
      <c r="M19" s="2707"/>
      <c r="N19" s="2707"/>
      <c r="O19" s="2707"/>
      <c r="P19" s="3767"/>
      <c r="Q19" s="1349" t="str">
        <f>B19</f>
        <v>公共配套设施</v>
      </c>
      <c r="R19" s="705" t="s">
        <v>14</v>
      </c>
      <c r="S19" s="706">
        <f>F19</f>
        <v>100</v>
      </c>
      <c r="T19" s="705" t="s">
        <v>14</v>
      </c>
      <c r="U19" s="706">
        <f>H19</f>
        <v>100</v>
      </c>
      <c r="V19" s="705" t="s">
        <v>14</v>
      </c>
      <c r="W19" s="706">
        <f>J19</f>
        <v>100</v>
      </c>
      <c r="X19" s="1352"/>
      <c r="Y19" s="3738"/>
      <c r="Z19" s="1353" t="str">
        <f>Q19</f>
        <v>公共配套设施</v>
      </c>
      <c r="AA19" s="1350">
        <f t="shared" si="3"/>
        <v>1</v>
      </c>
      <c r="AB19" s="1350">
        <f t="shared" si="4"/>
        <v>1</v>
      </c>
      <c r="AC19" s="1956">
        <f t="shared" si="5"/>
        <v>1</v>
      </c>
    </row>
    <row r="20" spans="1:29" ht="15">
      <c r="A20" s="379"/>
      <c r="B20" s="580"/>
      <c r="C20" s="1900"/>
      <c r="D20" s="399"/>
      <c r="E20" s="1893"/>
      <c r="F20" s="399"/>
      <c r="G20" s="1894"/>
      <c r="H20" s="399"/>
      <c r="I20" s="1894"/>
      <c r="J20" s="399"/>
      <c r="K20" s="564"/>
      <c r="L20" s="2713"/>
      <c r="M20" s="2707"/>
      <c r="N20" s="2707"/>
      <c r="O20" s="2707"/>
      <c r="P20" s="3767"/>
      <c r="Q20" s="1349"/>
      <c r="R20" s="705"/>
      <c r="S20" s="706"/>
      <c r="T20" s="705"/>
      <c r="U20" s="706"/>
      <c r="V20" s="705"/>
      <c r="W20" s="706"/>
      <c r="X20" s="1352"/>
      <c r="Y20" s="3738"/>
      <c r="Z20" s="1353"/>
      <c r="AA20" s="1350">
        <v>1</v>
      </c>
      <c r="AB20" s="1350">
        <v>1</v>
      </c>
      <c r="AC20" s="1956">
        <v>1</v>
      </c>
    </row>
    <row r="21" spans="1:29" ht="15">
      <c r="A21" s="379"/>
      <c r="B21" s="581" t="s">
        <v>1810</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3"/>
      <c r="M21" s="2707"/>
      <c r="N21" s="2707"/>
      <c r="O21" s="2707"/>
      <c r="P21" s="3767"/>
      <c r="Q21" s="1349" t="str">
        <f>B21</f>
        <v>基础设施水平</v>
      </c>
      <c r="R21" s="705" t="s">
        <v>14</v>
      </c>
      <c r="S21" s="706">
        <f>F21</f>
        <v>100</v>
      </c>
      <c r="T21" s="705" t="s">
        <v>14</v>
      </c>
      <c r="U21" s="706">
        <f>H21</f>
        <v>100</v>
      </c>
      <c r="V21" s="705" t="s">
        <v>14</v>
      </c>
      <c r="W21" s="706">
        <f>J21</f>
        <v>100</v>
      </c>
      <c r="X21" s="1352"/>
      <c r="Y21" s="3738"/>
      <c r="Z21" s="1353" t="str">
        <f>Q21</f>
        <v>基础设施水平</v>
      </c>
      <c r="AA21" s="1350">
        <f t="shared" ref="AA21" si="8">D21/F21</f>
        <v>1</v>
      </c>
      <c r="AB21" s="1350">
        <f t="shared" ref="AB21" si="9">D21/H21</f>
        <v>1</v>
      </c>
      <c r="AC21" s="1956">
        <f t="shared" ref="AC21" si="10">D21/J21</f>
        <v>1</v>
      </c>
    </row>
    <row r="22" spans="1:29" ht="15">
      <c r="A22" s="379"/>
      <c r="B22" s="581"/>
      <c r="C22" s="1958"/>
      <c r="D22" s="399"/>
      <c r="E22" s="398"/>
      <c r="F22" s="399"/>
      <c r="G22" s="1900"/>
      <c r="H22" s="399"/>
      <c r="I22" s="1900"/>
      <c r="J22" s="399"/>
      <c r="K22" s="1130"/>
      <c r="L22" s="2713"/>
      <c r="M22" s="2707"/>
      <c r="N22" s="2707"/>
      <c r="O22" s="2707"/>
      <c r="P22" s="3767"/>
      <c r="Q22" s="1349"/>
      <c r="R22" s="705"/>
      <c r="S22" s="706"/>
      <c r="T22" s="705"/>
      <c r="U22" s="706"/>
      <c r="V22" s="705"/>
      <c r="W22" s="706"/>
      <c r="X22" s="1352"/>
      <c r="Y22" s="3738"/>
      <c r="Z22" s="1353"/>
      <c r="AA22" s="1350">
        <v>1</v>
      </c>
      <c r="AB22" s="1350">
        <v>1</v>
      </c>
      <c r="AC22" s="1956">
        <v>1</v>
      </c>
    </row>
    <row r="23" spans="1:29" ht="15">
      <c r="A23" s="379"/>
      <c r="B23" s="579" t="s">
        <v>1811</v>
      </c>
      <c r="C23" s="1957"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3"/>
      <c r="M23" s="2707"/>
      <c r="N23" s="2707"/>
      <c r="O23" s="2707"/>
      <c r="P23" s="3767"/>
      <c r="Q23" s="1349" t="str">
        <f>B23</f>
        <v>环境质量</v>
      </c>
      <c r="R23" s="705" t="s">
        <v>14</v>
      </c>
      <c r="S23" s="706">
        <f>F23</f>
        <v>100</v>
      </c>
      <c r="T23" s="705" t="s">
        <v>14</v>
      </c>
      <c r="U23" s="706">
        <f>H23</f>
        <v>100</v>
      </c>
      <c r="V23" s="705" t="s">
        <v>14</v>
      </c>
      <c r="W23" s="706">
        <f>J23</f>
        <v>100</v>
      </c>
      <c r="X23" s="1352"/>
      <c r="Y23" s="3738"/>
      <c r="Z23" s="1353" t="str">
        <f>Q23</f>
        <v>环境质量</v>
      </c>
      <c r="AA23" s="1350">
        <f t="shared" si="3"/>
        <v>1</v>
      </c>
      <c r="AB23" s="1350">
        <f t="shared" si="4"/>
        <v>1</v>
      </c>
      <c r="AC23" s="1956">
        <f t="shared" si="5"/>
        <v>1</v>
      </c>
    </row>
    <row r="24" spans="1:29" ht="15">
      <c r="A24" s="379"/>
      <c r="B24" s="581"/>
      <c r="C24" s="1900"/>
      <c r="D24" s="399"/>
      <c r="E24" s="1893"/>
      <c r="F24" s="399"/>
      <c r="G24" s="1894"/>
      <c r="H24" s="399"/>
      <c r="I24" s="1894"/>
      <c r="J24" s="399"/>
      <c r="K24" s="564"/>
      <c r="L24" s="2713"/>
      <c r="M24" s="2707"/>
      <c r="N24" s="2707"/>
      <c r="O24" s="2707"/>
      <c r="P24" s="3767"/>
      <c r="Q24" s="1349"/>
      <c r="R24" s="705"/>
      <c r="S24" s="706"/>
      <c r="T24" s="705"/>
      <c r="U24" s="706"/>
      <c r="V24" s="705"/>
      <c r="W24" s="706"/>
      <c r="X24" s="1352"/>
      <c r="Y24" s="3738"/>
      <c r="Z24" s="1353"/>
      <c r="AA24" s="1350">
        <v>1</v>
      </c>
      <c r="AB24" s="1350">
        <v>1</v>
      </c>
      <c r="AC24" s="1956">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3"/>
      <c r="M25" s="2707"/>
      <c r="N25" s="2707"/>
      <c r="O25" s="2707"/>
      <c r="P25" s="3767"/>
      <c r="Q25" s="1349" t="str">
        <f>B25</f>
        <v>毗邻道路的类型与等级</v>
      </c>
      <c r="R25" s="705" t="s">
        <v>14</v>
      </c>
      <c r="S25" s="706">
        <f>F25</f>
        <v>100</v>
      </c>
      <c r="T25" s="705" t="s">
        <v>14</v>
      </c>
      <c r="U25" s="706">
        <f>H25</f>
        <v>100</v>
      </c>
      <c r="V25" s="705" t="s">
        <v>14</v>
      </c>
      <c r="W25" s="706">
        <f>J25</f>
        <v>100</v>
      </c>
      <c r="X25" s="1352"/>
      <c r="Y25" s="3738"/>
      <c r="Z25" s="1353" t="str">
        <f>Q25</f>
        <v>毗邻道路的类型与等级</v>
      </c>
      <c r="AA25" s="1350">
        <f t="shared" si="3"/>
        <v>1</v>
      </c>
      <c r="AB25" s="1350">
        <f t="shared" si="4"/>
        <v>1</v>
      </c>
      <c r="AC25" s="1956">
        <f t="shared" si="5"/>
        <v>1</v>
      </c>
    </row>
    <row r="26" spans="1:29" ht="15">
      <c r="A26" s="358"/>
      <c r="B26" s="580"/>
      <c r="C26" s="582"/>
      <c r="D26" s="386"/>
      <c r="E26" s="565"/>
      <c r="F26" s="386"/>
      <c r="G26" s="582"/>
      <c r="H26" s="386"/>
      <c r="I26" s="565"/>
      <c r="J26" s="386"/>
      <c r="K26" s="564"/>
      <c r="L26" s="2713"/>
      <c r="M26" s="2707"/>
      <c r="N26" s="2707"/>
      <c r="O26" s="2707"/>
      <c r="P26" s="3767"/>
      <c r="Q26" s="1349"/>
      <c r="R26" s="705"/>
      <c r="S26" s="706"/>
      <c r="T26" s="705"/>
      <c r="U26" s="706"/>
      <c r="V26" s="705"/>
      <c r="W26" s="706"/>
      <c r="X26" s="1352"/>
      <c r="Y26" s="3738"/>
      <c r="Z26" s="1353"/>
      <c r="AA26" s="1350">
        <v>1</v>
      </c>
      <c r="AB26" s="1350">
        <v>1</v>
      </c>
      <c r="AC26" s="1956">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3"/>
      <c r="M27" s="2707"/>
      <c r="N27" s="2707"/>
      <c r="O27" s="2707"/>
      <c r="P27" s="3767"/>
      <c r="Q27" s="1349" t="str">
        <f t="shared" ref="Q27:Q47" si="11">B27</f>
        <v>楼层</v>
      </c>
      <c r="R27" s="705" t="s">
        <v>14</v>
      </c>
      <c r="S27" s="706">
        <f>F27</f>
        <v>100</v>
      </c>
      <c r="T27" s="705" t="s">
        <v>14</v>
      </c>
      <c r="U27" s="706">
        <f>H27</f>
        <v>100</v>
      </c>
      <c r="V27" s="705" t="s">
        <v>14</v>
      </c>
      <c r="W27" s="706">
        <f>J27</f>
        <v>100</v>
      </c>
      <c r="X27" s="1352"/>
      <c r="Y27" s="3738"/>
      <c r="Z27" s="1353" t="str">
        <f>Q27</f>
        <v>楼层</v>
      </c>
      <c r="AA27" s="1350">
        <f t="shared" si="3"/>
        <v>1</v>
      </c>
      <c r="AB27" s="1350">
        <f t="shared" si="4"/>
        <v>1</v>
      </c>
      <c r="AC27" s="1956">
        <f t="shared" si="5"/>
        <v>1</v>
      </c>
    </row>
    <row r="28" spans="1:29" s="108" customFormat="1" ht="15">
      <c r="A28" s="382"/>
      <c r="B28" s="579" t="s">
        <v>1813</v>
      </c>
      <c r="C28" s="1959"/>
      <c r="D28" s="413">
        <v>100</v>
      </c>
      <c r="E28" s="1950"/>
      <c r="F28" s="413">
        <f>SUMIF(91:91,E28,92:92)-SUMIF(91:91,C28,92:92)+100</f>
        <v>100</v>
      </c>
      <c r="G28" s="1959"/>
      <c r="H28" s="413">
        <f>SUMIF(91:91,G28,92:92)-SUMIF(91:91,C28,92:92)+100</f>
        <v>100</v>
      </c>
      <c r="I28" s="1950"/>
      <c r="J28" s="413">
        <f>SUMIF(91:91,I28,92:92)-SUMIF(91:91,C28,92:92)+100</f>
        <v>100</v>
      </c>
      <c r="K28" s="561"/>
      <c r="L28" s="2708"/>
      <c r="M28" s="2709"/>
      <c r="N28" s="2709"/>
      <c r="O28" s="2709"/>
      <c r="P28" s="3767"/>
      <c r="Q28" s="1340" t="str">
        <f t="shared" si="11"/>
        <v>朝向</v>
      </c>
      <c r="R28" s="701" t="s">
        <v>14</v>
      </c>
      <c r="S28" s="702">
        <f>F28</f>
        <v>100</v>
      </c>
      <c r="T28" s="701" t="s">
        <v>14</v>
      </c>
      <c r="U28" s="702">
        <f>H28</f>
        <v>100</v>
      </c>
      <c r="V28" s="701" t="s">
        <v>14</v>
      </c>
      <c r="W28" s="702">
        <f>J28</f>
        <v>100</v>
      </c>
      <c r="X28" s="703"/>
      <c r="Y28" s="3738"/>
      <c r="Z28" s="52" t="str">
        <f>Q28</f>
        <v>朝向</v>
      </c>
      <c r="AA28" s="1350">
        <f>D28/F28</f>
        <v>1</v>
      </c>
      <c r="AB28" s="1350">
        <f>D28/H28</f>
        <v>1</v>
      </c>
      <c r="AC28" s="1956">
        <f>D28/J28</f>
        <v>1</v>
      </c>
    </row>
    <row r="29" spans="1:29" ht="15">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2"/>
      <c r="L29" s="2713"/>
      <c r="M29" s="2707"/>
      <c r="N29" s="2707"/>
      <c r="O29" s="2707"/>
      <c r="P29" s="3767"/>
      <c r="Q29" s="1349">
        <f t="shared" si="11"/>
        <v>111</v>
      </c>
      <c r="R29" s="705" t="s">
        <v>14</v>
      </c>
      <c r="S29" s="706">
        <f t="shared" ref="S29:S47" si="12">F29</f>
        <v>100</v>
      </c>
      <c r="T29" s="705" t="s">
        <v>14</v>
      </c>
      <c r="U29" s="706">
        <f t="shared" ref="U29:U47" si="13">H29</f>
        <v>100</v>
      </c>
      <c r="V29" s="705" t="s">
        <v>14</v>
      </c>
      <c r="W29" s="706">
        <f t="shared" ref="W29:W47" si="14">J29</f>
        <v>100</v>
      </c>
      <c r="X29" s="1352"/>
      <c r="Y29" s="3738"/>
      <c r="Z29" s="1353">
        <f t="shared" ref="Z29:Z47" si="15">Q29</f>
        <v>111</v>
      </c>
      <c r="AA29" s="1350">
        <f t="shared" si="3"/>
        <v>1</v>
      </c>
      <c r="AB29" s="1350">
        <f t="shared" si="4"/>
        <v>1</v>
      </c>
      <c r="AC29" s="1956">
        <f t="shared" si="5"/>
        <v>1</v>
      </c>
    </row>
    <row r="30" spans="1:29" ht="15">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2"/>
      <c r="L30" s="2713"/>
      <c r="M30" s="2707"/>
      <c r="N30" s="2707"/>
      <c r="O30" s="2707"/>
      <c r="P30" s="3767"/>
      <c r="Q30" s="1349">
        <f t="shared" si="11"/>
        <v>111</v>
      </c>
      <c r="R30" s="705" t="s">
        <v>14</v>
      </c>
      <c r="S30" s="706">
        <f t="shared" si="12"/>
        <v>100</v>
      </c>
      <c r="T30" s="705" t="s">
        <v>14</v>
      </c>
      <c r="U30" s="706">
        <f t="shared" si="13"/>
        <v>100</v>
      </c>
      <c r="V30" s="705" t="s">
        <v>14</v>
      </c>
      <c r="W30" s="706">
        <f t="shared" si="14"/>
        <v>100</v>
      </c>
      <c r="X30" s="1352"/>
      <c r="Y30" s="3738"/>
      <c r="Z30" s="1353">
        <f t="shared" si="15"/>
        <v>111</v>
      </c>
      <c r="AA30" s="1350">
        <f t="shared" si="3"/>
        <v>1</v>
      </c>
      <c r="AB30" s="1350">
        <f t="shared" si="4"/>
        <v>1</v>
      </c>
      <c r="AC30" s="1956">
        <f t="shared" si="5"/>
        <v>1</v>
      </c>
    </row>
    <row r="31" spans="1:29" ht="15">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2"/>
      <c r="L31" s="2713"/>
      <c r="M31" s="2707"/>
      <c r="N31" s="2707"/>
      <c r="O31" s="2707"/>
      <c r="P31" s="3767"/>
      <c r="Q31" s="1349">
        <f t="shared" si="11"/>
        <v>111</v>
      </c>
      <c r="R31" s="705" t="s">
        <v>14</v>
      </c>
      <c r="S31" s="706">
        <f t="shared" si="12"/>
        <v>100</v>
      </c>
      <c r="T31" s="705" t="s">
        <v>14</v>
      </c>
      <c r="U31" s="706">
        <f t="shared" si="13"/>
        <v>100</v>
      </c>
      <c r="V31" s="705" t="s">
        <v>14</v>
      </c>
      <c r="W31" s="706">
        <f t="shared" si="14"/>
        <v>100</v>
      </c>
      <c r="X31" s="1352"/>
      <c r="Y31" s="3738"/>
      <c r="Z31" s="1353">
        <f t="shared" si="15"/>
        <v>111</v>
      </c>
      <c r="AA31" s="1350">
        <f t="shared" si="3"/>
        <v>1</v>
      </c>
      <c r="AB31" s="1350">
        <f t="shared" si="4"/>
        <v>1</v>
      </c>
      <c r="AC31" s="1956">
        <f t="shared" si="5"/>
        <v>1</v>
      </c>
    </row>
    <row r="32" spans="1:29" ht="15.75" thickBot="1">
      <c r="A32" s="387"/>
      <c r="B32" s="583">
        <v>111</v>
      </c>
      <c r="C32" s="1905"/>
      <c r="D32" s="389">
        <v>100</v>
      </c>
      <c r="E32" s="576"/>
      <c r="F32" s="389">
        <f>SUMIF(99:99,E32,100:100)-SUMIF(99:99,C32,100:100)+100</f>
        <v>100</v>
      </c>
      <c r="G32" s="1954"/>
      <c r="H32" s="389">
        <f>SUMIF(99:99,G32,100:100)-SUMIF(99:99,C32,100:100)+100</f>
        <v>100</v>
      </c>
      <c r="I32" s="383"/>
      <c r="J32" s="389">
        <f>SUMIF(99:99,I32,100:100)-SUMIF(99:99,C32,100:100)+100</f>
        <v>100</v>
      </c>
      <c r="K32" s="562"/>
      <c r="L32" s="2713"/>
      <c r="M32" s="2707"/>
      <c r="N32" s="2707"/>
      <c r="O32" s="2707"/>
      <c r="P32" s="3767"/>
      <c r="Q32" s="1349">
        <f t="shared" si="11"/>
        <v>111</v>
      </c>
      <c r="R32" s="705" t="s">
        <v>14</v>
      </c>
      <c r="S32" s="706">
        <f t="shared" si="12"/>
        <v>100</v>
      </c>
      <c r="T32" s="705" t="s">
        <v>14</v>
      </c>
      <c r="U32" s="706">
        <f t="shared" si="13"/>
        <v>100</v>
      </c>
      <c r="V32" s="705" t="s">
        <v>14</v>
      </c>
      <c r="W32" s="706">
        <f t="shared" si="14"/>
        <v>100</v>
      </c>
      <c r="X32" s="1352"/>
      <c r="Y32" s="3738"/>
      <c r="Z32" s="1353">
        <f t="shared" si="15"/>
        <v>111</v>
      </c>
      <c r="AA32" s="1350">
        <f t="shared" si="3"/>
        <v>1</v>
      </c>
      <c r="AB32" s="1350">
        <f t="shared" si="4"/>
        <v>1</v>
      </c>
      <c r="AC32" s="1956">
        <f t="shared" si="5"/>
        <v>1</v>
      </c>
    </row>
    <row r="33" spans="1:29" ht="15">
      <c r="A33" s="391" t="s">
        <v>1691</v>
      </c>
      <c r="B33" s="63" t="s">
        <v>1814</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61"/>
      <c r="L33" s="2713"/>
      <c r="M33" s="2707"/>
      <c r="N33" s="2707"/>
      <c r="O33" s="2707"/>
      <c r="P33" s="3762" t="s">
        <v>1693</v>
      </c>
      <c r="Q33" s="1349" t="str">
        <f t="shared" si="11"/>
        <v>建筑类型</v>
      </c>
      <c r="R33" s="705" t="s">
        <v>14</v>
      </c>
      <c r="S33" s="706">
        <f t="shared" si="12"/>
        <v>100</v>
      </c>
      <c r="T33" s="705" t="s">
        <v>14</v>
      </c>
      <c r="U33" s="706">
        <f t="shared" si="13"/>
        <v>100</v>
      </c>
      <c r="V33" s="705" t="s">
        <v>14</v>
      </c>
      <c r="W33" s="706">
        <f t="shared" si="14"/>
        <v>100</v>
      </c>
      <c r="X33" s="1352"/>
      <c r="Y33" s="3740" t="s">
        <v>1693</v>
      </c>
      <c r="Z33" s="1353" t="str">
        <f t="shared" si="15"/>
        <v>建筑类型</v>
      </c>
      <c r="AA33" s="1350">
        <f t="shared" si="3"/>
        <v>1</v>
      </c>
      <c r="AB33" s="1350">
        <f t="shared" si="4"/>
        <v>1</v>
      </c>
      <c r="AC33" s="1956">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2"/>
      <c r="M34" s="2714"/>
      <c r="N34" s="2714"/>
      <c r="O34" s="2714"/>
      <c r="P34" s="3763"/>
      <c r="Q34" s="707" t="str">
        <f t="shared" si="11"/>
        <v>项目建筑规模</v>
      </c>
      <c r="R34" s="708" t="s">
        <v>14</v>
      </c>
      <c r="S34" s="709" t="e">
        <f t="shared" si="12"/>
        <v>#N/A</v>
      </c>
      <c r="T34" s="708" t="s">
        <v>14</v>
      </c>
      <c r="U34" s="709" t="e">
        <f t="shared" si="13"/>
        <v>#N/A</v>
      </c>
      <c r="V34" s="708" t="s">
        <v>14</v>
      </c>
      <c r="W34" s="709" t="e">
        <f t="shared" si="14"/>
        <v>#N/A</v>
      </c>
      <c r="X34" s="710"/>
      <c r="Y34" s="3740"/>
      <c r="Z34" s="711" t="str">
        <f t="shared" si="15"/>
        <v>项目建筑规模</v>
      </c>
      <c r="AA34" s="1350" t="e">
        <f t="shared" si="3"/>
        <v>#N/A</v>
      </c>
      <c r="AB34" s="1350" t="e">
        <f t="shared" si="4"/>
        <v>#N/A</v>
      </c>
      <c r="AC34" s="1956"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3"/>
      <c r="M35" s="2707"/>
      <c r="N35" s="2707"/>
      <c r="O35" s="2707"/>
      <c r="P35" s="3763"/>
      <c r="Q35" s="1349" t="str">
        <f t="shared" si="11"/>
        <v>建筑结构</v>
      </c>
      <c r="R35" s="705" t="s">
        <v>14</v>
      </c>
      <c r="S35" s="706">
        <f t="shared" si="12"/>
        <v>100</v>
      </c>
      <c r="T35" s="705" t="s">
        <v>14</v>
      </c>
      <c r="U35" s="706">
        <f t="shared" si="13"/>
        <v>100</v>
      </c>
      <c r="V35" s="705" t="s">
        <v>14</v>
      </c>
      <c r="W35" s="706">
        <f t="shared" si="14"/>
        <v>100</v>
      </c>
      <c r="X35" s="1352"/>
      <c r="Y35" s="3740"/>
      <c r="Z35" s="1353" t="str">
        <f t="shared" si="15"/>
        <v>建筑结构</v>
      </c>
      <c r="AA35" s="1350">
        <f t="shared" si="3"/>
        <v>1</v>
      </c>
      <c r="AB35" s="1350">
        <f t="shared" si="4"/>
        <v>1</v>
      </c>
      <c r="AC35" s="1956">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3"/>
      <c r="M36" s="2707"/>
      <c r="N36" s="2707"/>
      <c r="O36" s="2707"/>
      <c r="P36" s="3763"/>
      <c r="Q36" s="1349" t="str">
        <f t="shared" si="11"/>
        <v>公共部分装修</v>
      </c>
      <c r="R36" s="705" t="s">
        <v>14</v>
      </c>
      <c r="S36" s="706">
        <f t="shared" si="12"/>
        <v>100</v>
      </c>
      <c r="T36" s="705" t="s">
        <v>14</v>
      </c>
      <c r="U36" s="706">
        <f t="shared" si="13"/>
        <v>100</v>
      </c>
      <c r="V36" s="705" t="s">
        <v>14</v>
      </c>
      <c r="W36" s="706">
        <f t="shared" si="14"/>
        <v>100</v>
      </c>
      <c r="X36" s="1352"/>
      <c r="Y36" s="3740"/>
      <c r="Z36" s="1353" t="str">
        <f t="shared" si="15"/>
        <v>公共部分装修</v>
      </c>
      <c r="AA36" s="1350">
        <f t="shared" si="3"/>
        <v>1</v>
      </c>
      <c r="AB36" s="1350">
        <f t="shared" si="4"/>
        <v>1</v>
      </c>
      <c r="AC36" s="1956">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3"/>
      <c r="M37" s="2707"/>
      <c r="N37" s="2707"/>
      <c r="O37" s="2707"/>
      <c r="P37" s="3763"/>
      <c r="Q37" s="1349" t="str">
        <f t="shared" si="11"/>
        <v>成新度</v>
      </c>
      <c r="R37" s="705" t="s">
        <v>14</v>
      </c>
      <c r="S37" s="706" t="e">
        <f t="shared" si="12"/>
        <v>#N/A</v>
      </c>
      <c r="T37" s="705" t="s">
        <v>14</v>
      </c>
      <c r="U37" s="706" t="e">
        <f t="shared" si="13"/>
        <v>#N/A</v>
      </c>
      <c r="V37" s="705" t="s">
        <v>14</v>
      </c>
      <c r="W37" s="706" t="e">
        <f t="shared" si="14"/>
        <v>#N/A</v>
      </c>
      <c r="X37" s="1352"/>
      <c r="Y37" s="3740"/>
      <c r="Z37" s="1353" t="str">
        <f t="shared" si="15"/>
        <v>成新度</v>
      </c>
      <c r="AA37" s="1350" t="e">
        <f t="shared" si="3"/>
        <v>#N/A</v>
      </c>
      <c r="AB37" s="1350" t="e">
        <f t="shared" si="4"/>
        <v>#N/A</v>
      </c>
      <c r="AC37" s="1956"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8"/>
      <c r="M38" s="2709"/>
      <c r="N38" s="2709"/>
      <c r="O38" s="2709"/>
      <c r="P38" s="3763"/>
      <c r="Q38" s="1340" t="str">
        <f t="shared" si="11"/>
        <v>写字楼等级</v>
      </c>
      <c r="R38" s="701" t="s">
        <v>14</v>
      </c>
      <c r="S38" s="702">
        <f t="shared" si="12"/>
        <v>100</v>
      </c>
      <c r="T38" s="701" t="s">
        <v>14</v>
      </c>
      <c r="U38" s="702">
        <f t="shared" si="13"/>
        <v>100</v>
      </c>
      <c r="V38" s="701" t="s">
        <v>14</v>
      </c>
      <c r="W38" s="702">
        <f t="shared" si="14"/>
        <v>100</v>
      </c>
      <c r="X38" s="703"/>
      <c r="Y38" s="3740"/>
      <c r="Z38" s="52" t="str">
        <f t="shared" si="15"/>
        <v>写字楼等级</v>
      </c>
      <c r="AA38" s="704">
        <f t="shared" si="3"/>
        <v>1</v>
      </c>
      <c r="AB38" s="704">
        <f t="shared" si="4"/>
        <v>1</v>
      </c>
      <c r="AC38" s="1953">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3"/>
      <c r="M39" s="2707"/>
      <c r="N39" s="2707"/>
      <c r="O39" s="2707"/>
      <c r="P39" s="3763" t="s">
        <v>1693</v>
      </c>
      <c r="Q39" s="1349" t="str">
        <f t="shared" si="11"/>
        <v>物业管理</v>
      </c>
      <c r="R39" s="705" t="s">
        <v>14</v>
      </c>
      <c r="S39" s="706">
        <f t="shared" si="12"/>
        <v>100</v>
      </c>
      <c r="T39" s="705" t="s">
        <v>14</v>
      </c>
      <c r="U39" s="706">
        <f t="shared" si="13"/>
        <v>100</v>
      </c>
      <c r="V39" s="705" t="s">
        <v>14</v>
      </c>
      <c r="W39" s="706">
        <f t="shared" si="14"/>
        <v>100</v>
      </c>
      <c r="X39" s="1352"/>
      <c r="Y39" s="3740" t="s">
        <v>1693</v>
      </c>
      <c r="Z39" s="1353" t="str">
        <f t="shared" si="15"/>
        <v>物业管理</v>
      </c>
      <c r="AA39" s="1350">
        <f t="shared" si="3"/>
        <v>1</v>
      </c>
      <c r="AB39" s="1350">
        <f t="shared" si="4"/>
        <v>1</v>
      </c>
      <c r="AC39" s="1956">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3"/>
      <c r="M40" s="2707"/>
      <c r="N40" s="2707"/>
      <c r="O40" s="2707"/>
      <c r="P40" s="3763"/>
      <c r="Q40" s="1349" t="str">
        <f t="shared" si="11"/>
        <v>市政基础设施</v>
      </c>
      <c r="R40" s="705" t="s">
        <v>14</v>
      </c>
      <c r="S40" s="706">
        <f t="shared" si="12"/>
        <v>100</v>
      </c>
      <c r="T40" s="705" t="s">
        <v>14</v>
      </c>
      <c r="U40" s="706">
        <f t="shared" si="13"/>
        <v>100</v>
      </c>
      <c r="V40" s="705" t="s">
        <v>14</v>
      </c>
      <c r="W40" s="706">
        <f t="shared" si="14"/>
        <v>100</v>
      </c>
      <c r="X40" s="1352"/>
      <c r="Y40" s="3740"/>
      <c r="Z40" s="1353" t="str">
        <f t="shared" si="15"/>
        <v>市政基础设施</v>
      </c>
      <c r="AA40" s="1350">
        <f t="shared" si="3"/>
        <v>1</v>
      </c>
      <c r="AB40" s="1350">
        <f t="shared" si="4"/>
        <v>1</v>
      </c>
      <c r="AC40" s="1956">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3"/>
      <c r="M41" s="2707"/>
      <c r="N41" s="2707"/>
      <c r="O41" s="2707"/>
      <c r="P41" s="3763"/>
      <c r="Q41" s="1349" t="str">
        <f t="shared" si="11"/>
        <v>层高</v>
      </c>
      <c r="R41" s="705" t="s">
        <v>14</v>
      </c>
      <c r="S41" s="706">
        <f t="shared" si="12"/>
        <v>100</v>
      </c>
      <c r="T41" s="705" t="s">
        <v>14</v>
      </c>
      <c r="U41" s="706">
        <f t="shared" si="13"/>
        <v>100</v>
      </c>
      <c r="V41" s="705" t="s">
        <v>14</v>
      </c>
      <c r="W41" s="706">
        <f t="shared" si="14"/>
        <v>100</v>
      </c>
      <c r="X41" s="1352"/>
      <c r="Y41" s="3740"/>
      <c r="Z41" s="1353" t="str">
        <f t="shared" si="15"/>
        <v>层高</v>
      </c>
      <c r="AA41" s="1350">
        <f t="shared" si="3"/>
        <v>1</v>
      </c>
      <c r="AB41" s="1350">
        <f t="shared" si="4"/>
        <v>1</v>
      </c>
      <c r="AC41" s="1956">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2"/>
      <c r="M42" s="2714"/>
      <c r="N42" s="2714"/>
      <c r="O42" s="2714"/>
      <c r="P42" s="3763"/>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0">
        <f t="shared" si="3"/>
        <v>1</v>
      </c>
      <c r="AB42" s="1350">
        <f t="shared" si="4"/>
        <v>1</v>
      </c>
      <c r="AC42" s="1956">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3"/>
      <c r="M43" s="2707"/>
      <c r="N43" s="2707"/>
      <c r="O43" s="2707"/>
      <c r="P43" s="3763"/>
      <c r="Q43" s="1349" t="str">
        <f t="shared" si="11"/>
        <v>内部装修</v>
      </c>
      <c r="R43" s="705" t="s">
        <v>14</v>
      </c>
      <c r="S43" s="706">
        <f t="shared" si="12"/>
        <v>100</v>
      </c>
      <c r="T43" s="705" t="s">
        <v>14</v>
      </c>
      <c r="U43" s="706">
        <f t="shared" si="13"/>
        <v>100</v>
      </c>
      <c r="V43" s="705" t="s">
        <v>14</v>
      </c>
      <c r="W43" s="706">
        <f t="shared" si="14"/>
        <v>100</v>
      </c>
      <c r="X43" s="1352"/>
      <c r="Y43" s="3740"/>
      <c r="Z43" s="1353" t="str">
        <f t="shared" si="15"/>
        <v>内部装修</v>
      </c>
      <c r="AA43" s="1350">
        <f t="shared" si="3"/>
        <v>1</v>
      </c>
      <c r="AB43" s="1350">
        <f t="shared" si="4"/>
        <v>1</v>
      </c>
      <c r="AC43" s="1956">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3"/>
      <c r="M44" s="2707"/>
      <c r="N44" s="2707"/>
      <c r="O44" s="2707"/>
      <c r="P44" s="3763"/>
      <c r="Q44" s="1349" t="str">
        <f t="shared" si="11"/>
        <v>内部装修维护情况</v>
      </c>
      <c r="R44" s="705" t="s">
        <v>14</v>
      </c>
      <c r="S44" s="706">
        <f t="shared" si="12"/>
        <v>100</v>
      </c>
      <c r="T44" s="705" t="s">
        <v>14</v>
      </c>
      <c r="U44" s="706">
        <f t="shared" si="13"/>
        <v>100</v>
      </c>
      <c r="V44" s="705" t="s">
        <v>14</v>
      </c>
      <c r="W44" s="706">
        <f t="shared" si="14"/>
        <v>100</v>
      </c>
      <c r="X44" s="1352"/>
      <c r="Y44" s="3740"/>
      <c r="Z44" s="1353" t="str">
        <f t="shared" si="15"/>
        <v>内部装修维护情况</v>
      </c>
      <c r="AA44" s="1350">
        <f t="shared" si="3"/>
        <v>1</v>
      </c>
      <c r="AB44" s="1350">
        <f t="shared" si="4"/>
        <v>1</v>
      </c>
      <c r="AC44" s="1956">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8"/>
      <c r="M45" s="2709"/>
      <c r="N45" s="2709"/>
      <c r="O45" s="2709"/>
      <c r="P45" s="3763"/>
      <c r="Q45" s="1340">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3">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3"/>
      <c r="M46" s="2707"/>
      <c r="N46" s="2707"/>
      <c r="O46" s="2707"/>
      <c r="P46" s="3763"/>
      <c r="Q46" s="1349">
        <f t="shared" si="11"/>
        <v>111</v>
      </c>
      <c r="R46" s="705" t="s">
        <v>14</v>
      </c>
      <c r="S46" s="706">
        <f t="shared" si="12"/>
        <v>100</v>
      </c>
      <c r="T46" s="705" t="s">
        <v>14</v>
      </c>
      <c r="U46" s="706">
        <f t="shared" si="13"/>
        <v>100</v>
      </c>
      <c r="V46" s="705" t="s">
        <v>14</v>
      </c>
      <c r="W46" s="706">
        <f t="shared" si="14"/>
        <v>100</v>
      </c>
      <c r="X46" s="1352"/>
      <c r="Y46" s="3740"/>
      <c r="Z46" s="1353">
        <f t="shared" si="15"/>
        <v>111</v>
      </c>
      <c r="AA46" s="1350">
        <f t="shared" si="3"/>
        <v>1</v>
      </c>
      <c r="AB46" s="1350">
        <f t="shared" si="4"/>
        <v>1</v>
      </c>
      <c r="AC46" s="1956">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3"/>
      <c r="M47" s="2707"/>
      <c r="N47" s="2707"/>
      <c r="O47" s="2707"/>
      <c r="P47" s="3764"/>
      <c r="Q47" s="1349">
        <f t="shared" si="11"/>
        <v>111</v>
      </c>
      <c r="R47" s="705" t="s">
        <v>14</v>
      </c>
      <c r="S47" s="706">
        <f t="shared" si="12"/>
        <v>100</v>
      </c>
      <c r="T47" s="705" t="s">
        <v>14</v>
      </c>
      <c r="U47" s="706">
        <f t="shared" si="13"/>
        <v>100</v>
      </c>
      <c r="V47" s="705" t="s">
        <v>14</v>
      </c>
      <c r="W47" s="706">
        <f t="shared" si="14"/>
        <v>100</v>
      </c>
      <c r="X47" s="1352"/>
      <c r="Y47" s="3765"/>
      <c r="Z47" s="1353">
        <f t="shared" si="15"/>
        <v>111</v>
      </c>
      <c r="AA47" s="1350">
        <f t="shared" si="3"/>
        <v>1</v>
      </c>
      <c r="AB47" s="1350">
        <f t="shared" si="4"/>
        <v>1</v>
      </c>
      <c r="AC47" s="1956">
        <f t="shared" si="5"/>
        <v>1</v>
      </c>
    </row>
    <row r="48" spans="1:29" ht="15">
      <c r="A48" s="430" t="s">
        <v>1705</v>
      </c>
      <c r="B48" s="431"/>
      <c r="C48" s="1154" t="s">
        <v>0</v>
      </c>
      <c r="D48" s="1155"/>
      <c r="E48" s="1156"/>
      <c r="F48" s="1157"/>
      <c r="G48" s="1158"/>
      <c r="H48" s="1159"/>
      <c r="I48" s="1156"/>
      <c r="J48" s="436"/>
      <c r="K48" s="714"/>
      <c r="L48" s="2715"/>
      <c r="M48" s="2707"/>
      <c r="N48" s="2707"/>
      <c r="O48" s="2707"/>
      <c r="P48" s="3746" t="str">
        <f>A48</f>
        <v>成交单价（元/平方米）</v>
      </c>
      <c r="Q48" s="3722"/>
      <c r="R48" s="3761">
        <f>E48</f>
        <v>0</v>
      </c>
      <c r="S48" s="3761"/>
      <c r="T48" s="3761">
        <f>G48</f>
        <v>0</v>
      </c>
      <c r="U48" s="3761"/>
      <c r="V48" s="3761">
        <f>I48</f>
        <v>0</v>
      </c>
      <c r="W48" s="3761"/>
      <c r="X48" s="397"/>
      <c r="Y48" s="712"/>
      <c r="Z48" s="397"/>
      <c r="AA48" s="397"/>
      <c r="AB48" s="397"/>
      <c r="AC48" s="578"/>
    </row>
    <row r="49" spans="1:29" ht="15.75" thickBot="1">
      <c r="A49" s="437" t="s">
        <v>1790</v>
      </c>
      <c r="B49" s="438"/>
      <c r="C49" s="1160" t="e">
        <f>R50</f>
        <v>#DIV/0!</v>
      </c>
      <c r="D49" s="2310" t="s">
        <v>2134</v>
      </c>
      <c r="E49" s="1161" t="e">
        <f>R49</f>
        <v>#DIV/0!</v>
      </c>
      <c r="F49" s="2311"/>
      <c r="G49" s="1160" t="e">
        <f>T49</f>
        <v>#DIV/0!</v>
      </c>
      <c r="H49" s="2311"/>
      <c r="I49" s="1161" t="e">
        <f>V49</f>
        <v>#DIV/0!</v>
      </c>
      <c r="J49" s="2311"/>
      <c r="K49" s="2313">
        <f>F49+H49+J49</f>
        <v>0</v>
      </c>
      <c r="L49" s="2715"/>
      <c r="M49" s="2707"/>
      <c r="N49" s="2707"/>
      <c r="O49" s="2707"/>
      <c r="P49" s="3746" t="str">
        <f>A49</f>
        <v>比较价值（元/平方米）</v>
      </c>
      <c r="Q49" s="3722"/>
      <c r="R49" s="3761" t="e">
        <f>IF(F1="售价",ROUND(PRODUCT(R48,AA7:AA47),0),ROUND(PRODUCT(R48,AA7:AA47),1))</f>
        <v>#DIV/0!</v>
      </c>
      <c r="S49" s="3761"/>
      <c r="T49" s="3761" t="e">
        <f>IF(F1="售价",ROUND(PRODUCT(T48,AB7:AB47),0),ROUND(PRODUCT(T48,AB7:AB47),1))</f>
        <v>#DIV/0!</v>
      </c>
      <c r="U49" s="3761"/>
      <c r="V49" s="3761" t="e">
        <f>IF(F1="售价",ROUND(PRODUCT(V48,AC7:AC47),0),ROUND(PRODUCT(V48,AC7:AC47),1))</f>
        <v>#DIV/0!</v>
      </c>
      <c r="W49" s="3761"/>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15"/>
      <c r="M50" s="2707"/>
      <c r="N50" s="2707"/>
      <c r="O50" s="2707"/>
      <c r="P50" s="3806" t="str">
        <f>A50</f>
        <v>估价对象XX用房的比较价值（楼面单价，元/平方米）</v>
      </c>
      <c r="Q50" s="3807"/>
      <c r="R50" s="3808" t="e">
        <f>IF(F1="售价",ROUND(IF(D49="简单平均",AVERAGE(R49:V49),R49*F49+T49*H49+V49*J49),0),ROUND(IF(D49="简单平均",AVERAGE(R49:V49),R49*F49+T49*H49+V49*J49),1))</f>
        <v>#DIV/0!</v>
      </c>
      <c r="S50" s="3808"/>
      <c r="T50" s="3808"/>
      <c r="U50" s="3808"/>
      <c r="V50" s="3808"/>
      <c r="W50" s="3808"/>
      <c r="X50" s="1940"/>
      <c r="Y50" s="1940"/>
      <c r="Z50" s="1940"/>
      <c r="AA50" s="1940"/>
      <c r="AB50" s="1940"/>
      <c r="AC50" s="1941"/>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51" customFormat="1" ht="13.5" customHeight="1">
      <c r="A55" s="2719"/>
      <c r="B55" s="2719"/>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51"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4" t="s">
        <v>1795</v>
      </c>
      <c r="B58" s="690"/>
      <c r="C58" s="695"/>
      <c r="D58" s="695"/>
      <c r="E58" s="695"/>
      <c r="F58" s="696"/>
      <c r="G58" s="696"/>
      <c r="H58" s="695"/>
      <c r="I58" s="695"/>
      <c r="J58" s="695"/>
      <c r="K58" s="697"/>
      <c r="L58" s="942"/>
      <c r="M58" s="940"/>
      <c r="N58" s="2760"/>
      <c r="O58" s="2760"/>
      <c r="P58" s="2749"/>
      <c r="Q58" s="2730"/>
      <c r="R58" s="2716"/>
      <c r="S58" s="2716"/>
      <c r="T58" s="2716"/>
      <c r="U58" s="2716"/>
      <c r="V58" s="2716"/>
      <c r="W58" s="2716"/>
      <c r="X58" s="2716"/>
      <c r="Y58" s="2716"/>
      <c r="Z58" s="2716"/>
      <c r="AA58" s="2716"/>
      <c r="AB58" s="2716"/>
      <c r="AC58" s="2716"/>
    </row>
    <row r="59" spans="1:29" s="457" customFormat="1" ht="15">
      <c r="A59" s="454" t="s">
        <v>1676</v>
      </c>
      <c r="B59" s="455"/>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50"/>
      <c r="Q59" s="2732"/>
      <c r="R59" s="2732"/>
      <c r="S59" s="2732"/>
      <c r="T59" s="2732"/>
      <c r="U59" s="2732"/>
      <c r="V59" s="2732"/>
      <c r="W59" s="2732"/>
      <c r="X59" s="2732"/>
      <c r="Y59" s="2732"/>
      <c r="Z59" s="2732"/>
      <c r="AA59" s="2732"/>
      <c r="AB59" s="2732"/>
      <c r="AC59" s="2732"/>
    </row>
    <row r="60" spans="1:29" s="108" customFormat="1" ht="15">
      <c r="A60" s="458"/>
      <c r="B60" s="459"/>
      <c r="C60" s="1180">
        <v>100</v>
      </c>
      <c r="D60" s="461"/>
      <c r="E60" s="461"/>
      <c r="F60" s="461"/>
      <c r="G60" s="461"/>
      <c r="H60" s="461"/>
      <c r="I60" s="461"/>
      <c r="J60" s="461"/>
      <c r="K60" s="461"/>
      <c r="L60" s="461"/>
      <c r="M60" s="462"/>
      <c r="N60" s="461"/>
      <c r="O60" s="462"/>
      <c r="P60" s="2751"/>
      <c r="Q60" s="2652"/>
      <c r="R60" s="2652"/>
      <c r="S60" s="2652"/>
      <c r="T60" s="2652"/>
      <c r="U60" s="2652"/>
      <c r="V60" s="2652"/>
      <c r="W60" s="2652"/>
      <c r="X60" s="2652"/>
      <c r="Y60" s="2652"/>
      <c r="Z60" s="2652"/>
      <c r="AA60" s="2652"/>
      <c r="AB60" s="2652"/>
      <c r="AC60" s="2652"/>
    </row>
    <row r="61" spans="1:29" s="108" customFormat="1" ht="15.75" thickBot="1">
      <c r="A61" s="464" t="s">
        <v>1713</v>
      </c>
      <c r="B61" s="465"/>
      <c r="C61" s="466"/>
      <c r="D61" s="467"/>
      <c r="E61" s="467"/>
      <c r="F61" s="467"/>
      <c r="G61" s="467"/>
      <c r="H61" s="467"/>
      <c r="I61" s="467"/>
      <c r="J61" s="467"/>
      <c r="K61" s="467"/>
      <c r="L61" s="467"/>
      <c r="M61" s="468"/>
      <c r="N61" s="467"/>
      <c r="O61" s="468"/>
      <c r="P61" s="2751"/>
      <c r="Q61" s="2730"/>
      <c r="R61" s="2652"/>
      <c r="S61" s="2652"/>
      <c r="T61" s="2652"/>
      <c r="U61" s="2652"/>
      <c r="V61" s="2652"/>
      <c r="W61" s="2652"/>
      <c r="X61" s="2652"/>
      <c r="Y61" s="2652"/>
      <c r="Z61" s="2652"/>
      <c r="AA61" s="2652"/>
      <c r="AB61" s="2652"/>
      <c r="AC61" s="2652"/>
    </row>
    <row r="62" spans="1:29" s="108" customFormat="1" ht="15">
      <c r="A62" s="470" t="s">
        <v>1678</v>
      </c>
      <c r="B62" s="459"/>
      <c r="C62" s="471" t="s">
        <v>1773</v>
      </c>
      <c r="D62" s="472"/>
      <c r="E62" s="472"/>
      <c r="F62" s="472"/>
      <c r="G62" s="472"/>
      <c r="H62" s="472"/>
      <c r="I62" s="472"/>
      <c r="J62" s="472"/>
      <c r="K62" s="472"/>
      <c r="L62" s="473"/>
      <c r="M62" s="474"/>
      <c r="N62" s="2743"/>
      <c r="O62" s="2743"/>
      <c r="P62" s="2752"/>
      <c r="Q62" s="2730"/>
      <c r="R62" s="2652"/>
      <c r="S62" s="2652"/>
      <c r="T62" s="2652"/>
      <c r="U62" s="2652"/>
      <c r="V62" s="2652"/>
      <c r="W62" s="2652"/>
      <c r="X62" s="2652"/>
      <c r="Y62" s="2652"/>
      <c r="Z62" s="2652"/>
      <c r="AA62" s="2652"/>
      <c r="AB62" s="2652"/>
      <c r="AC62" s="2652"/>
    </row>
    <row r="63" spans="1:29" s="108" customFormat="1" ht="15.75" thickBot="1">
      <c r="A63" s="470"/>
      <c r="B63" s="459"/>
      <c r="C63" s="460">
        <v>100</v>
      </c>
      <c r="D63" s="461"/>
      <c r="E63" s="461"/>
      <c r="F63" s="461"/>
      <c r="G63" s="461"/>
      <c r="H63" s="461"/>
      <c r="I63" s="461"/>
      <c r="J63" s="461"/>
      <c r="K63" s="461"/>
      <c r="L63" s="461"/>
      <c r="M63" s="463"/>
      <c r="N63" s="2743"/>
      <c r="O63" s="2743"/>
      <c r="P63" s="2751"/>
      <c r="Q63" s="2730"/>
      <c r="R63" s="2652"/>
      <c r="S63" s="2652"/>
      <c r="T63" s="2652"/>
      <c r="U63" s="2652"/>
      <c r="V63" s="2652"/>
      <c r="W63" s="2652"/>
      <c r="X63" s="2652"/>
      <c r="Y63" s="2652"/>
      <c r="Z63" s="2652"/>
      <c r="AA63" s="2652"/>
      <c r="AB63" s="2652"/>
      <c r="AC63" s="2652"/>
    </row>
    <row r="64" spans="1:29">
      <c r="A64" s="476" t="s">
        <v>1716</v>
      </c>
      <c r="B64" s="477" t="s">
        <v>1682</v>
      </c>
      <c r="C64" s="478">
        <f>C9</f>
        <v>0</v>
      </c>
      <c r="D64" s="479"/>
      <c r="E64" s="479"/>
      <c r="F64" s="479"/>
      <c r="G64" s="479"/>
      <c r="H64" s="479"/>
      <c r="I64" s="479"/>
      <c r="J64" s="479"/>
      <c r="K64" s="480"/>
      <c r="L64" s="481"/>
      <c r="M64" s="482"/>
      <c r="N64" s="2744"/>
      <c r="O64" s="2744"/>
      <c r="P64" s="2753"/>
      <c r="Q64" s="2730"/>
      <c r="R64" s="2716"/>
      <c r="S64" s="2716"/>
      <c r="T64" s="2716"/>
      <c r="U64" s="2716"/>
      <c r="V64" s="2716"/>
      <c r="W64" s="2716"/>
      <c r="X64" s="2716"/>
      <c r="Y64" s="2716"/>
      <c r="Z64" s="2716"/>
      <c r="AA64" s="2716"/>
      <c r="AB64" s="2716"/>
      <c r="AC64" s="2716"/>
    </row>
    <row r="65" spans="1:29" ht="15.75" thickBot="1">
      <c r="A65" s="483"/>
      <c r="B65" s="484"/>
      <c r="C65" s="485">
        <v>100</v>
      </c>
      <c r="D65" s="485"/>
      <c r="E65" s="485"/>
      <c r="F65" s="485"/>
      <c r="G65" s="485"/>
      <c r="H65" s="485"/>
      <c r="I65" s="485"/>
      <c r="J65" s="485"/>
      <c r="K65" s="485"/>
      <c r="L65" s="485"/>
      <c r="M65" s="486"/>
      <c r="N65" s="2745"/>
      <c r="O65" s="2745"/>
      <c r="P65" s="2753"/>
      <c r="Q65" s="2730"/>
      <c r="R65" s="2716"/>
      <c r="S65" s="2716"/>
      <c r="T65" s="2716"/>
      <c r="U65" s="2716"/>
      <c r="V65" s="2716"/>
      <c r="W65" s="2716"/>
      <c r="X65" s="2716"/>
      <c r="Y65" s="2716"/>
      <c r="Z65" s="2716"/>
      <c r="AA65" s="2716"/>
      <c r="AB65" s="2716"/>
      <c r="AC65" s="2716"/>
    </row>
    <row r="66" spans="1:29" ht="27.75" thickTop="1">
      <c r="A66" s="483"/>
      <c r="B66" s="487" t="s">
        <v>1685</v>
      </c>
      <c r="C66" s="532"/>
      <c r="D66" s="532"/>
      <c r="E66" s="532"/>
      <c r="F66" s="532"/>
      <c r="G66" s="532"/>
      <c r="H66" s="532"/>
      <c r="I66" s="532"/>
      <c r="J66" s="532"/>
      <c r="K66" s="533"/>
      <c r="L66" s="534"/>
      <c r="M66" s="535"/>
      <c r="N66" s="2744"/>
      <c r="O66" s="2744"/>
      <c r="P66" s="2753"/>
      <c r="Q66" s="2730"/>
      <c r="R66" s="2716"/>
      <c r="S66" s="2716"/>
      <c r="T66" s="2716"/>
      <c r="U66" s="2716"/>
      <c r="V66" s="2716"/>
      <c r="W66" s="2716"/>
      <c r="X66" s="2716"/>
      <c r="Y66" s="2716"/>
      <c r="Z66" s="2716"/>
      <c r="AA66" s="2716"/>
      <c r="AB66" s="2716"/>
      <c r="AC66" s="2716"/>
    </row>
    <row r="67" spans="1:29" ht="15.75" thickBot="1">
      <c r="A67" s="483"/>
      <c r="B67" s="492"/>
      <c r="C67" s="485"/>
      <c r="D67" s="485"/>
      <c r="E67" s="485"/>
      <c r="F67" s="485"/>
      <c r="G67" s="485"/>
      <c r="H67" s="485"/>
      <c r="I67" s="485"/>
      <c r="J67" s="485"/>
      <c r="K67" s="485"/>
      <c r="L67" s="485"/>
      <c r="M67" s="486"/>
      <c r="N67" s="2745"/>
      <c r="O67" s="2745"/>
      <c r="P67" s="2753"/>
      <c r="Q67" s="2730"/>
      <c r="R67" s="2716"/>
      <c r="S67" s="2716"/>
      <c r="T67" s="2716"/>
      <c r="U67" s="2716"/>
      <c r="V67" s="2716"/>
      <c r="W67" s="2716"/>
      <c r="X67" s="2716"/>
      <c r="Y67" s="2716"/>
      <c r="Z67" s="2716"/>
      <c r="AA67" s="2716"/>
      <c r="AB67" s="2716"/>
      <c r="AC67" s="2716"/>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3"/>
      <c r="B69" s="497"/>
      <c r="C69" s="498">
        <v>0</v>
      </c>
      <c r="D69" s="498">
        <v>3</v>
      </c>
      <c r="E69" s="498"/>
      <c r="F69" s="498"/>
      <c r="G69" s="498"/>
      <c r="H69" s="498"/>
      <c r="I69" s="498"/>
      <c r="J69" s="498"/>
      <c r="K69" s="499"/>
      <c r="L69" s="500"/>
      <c r="M69" s="501"/>
      <c r="N69" s="2744"/>
      <c r="O69" s="2744"/>
      <c r="P69" s="2753"/>
      <c r="Q69" s="2730"/>
      <c r="R69" s="2716"/>
      <c r="S69" s="2716"/>
      <c r="T69" s="2716"/>
      <c r="U69" s="2716"/>
      <c r="V69" s="2716"/>
      <c r="W69" s="2716"/>
      <c r="X69" s="2716"/>
      <c r="Y69" s="2716"/>
      <c r="Z69" s="2716"/>
      <c r="AA69" s="2716"/>
      <c r="AB69" s="2716"/>
      <c r="AC69" s="271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2"/>
      <c r="B71" s="487">
        <f>B12</f>
        <v>111</v>
      </c>
      <c r="C71" s="503"/>
      <c r="D71" s="503"/>
      <c r="E71" s="503"/>
      <c r="F71" s="503"/>
      <c r="G71" s="503"/>
      <c r="H71" s="504"/>
      <c r="I71" s="504"/>
      <c r="J71" s="504"/>
      <c r="K71" s="504"/>
      <c r="L71" s="505"/>
      <c r="M71" s="506"/>
      <c r="N71" s="2746"/>
      <c r="O71" s="2746"/>
      <c r="P71" s="2754"/>
      <c r="Q71" s="2737"/>
      <c r="R71" s="2738"/>
      <c r="S71" s="2738"/>
      <c r="T71" s="2738"/>
      <c r="U71" s="2738"/>
      <c r="V71" s="2738"/>
      <c r="W71" s="2738"/>
      <c r="X71" s="2738"/>
      <c r="Y71" s="2738"/>
      <c r="Z71" s="2738"/>
      <c r="AA71" s="2738"/>
      <c r="AB71" s="2738"/>
      <c r="AC71" s="2738"/>
    </row>
    <row r="72" spans="1:29" s="422" customFormat="1" ht="15.75" thickBot="1">
      <c r="A72" s="502"/>
      <c r="B72" s="492"/>
      <c r="C72" s="509"/>
      <c r="D72" s="485"/>
      <c r="E72" s="485"/>
      <c r="F72" s="485"/>
      <c r="G72" s="485"/>
      <c r="H72" s="485"/>
      <c r="I72" s="485"/>
      <c r="J72" s="485"/>
      <c r="K72" s="485"/>
      <c r="L72" s="485"/>
      <c r="M72" s="486"/>
      <c r="N72" s="2745"/>
      <c r="O72" s="2745"/>
      <c r="P72" s="2754"/>
      <c r="Q72" s="2737"/>
      <c r="R72" s="2738"/>
      <c r="S72" s="2738"/>
      <c r="T72" s="2738"/>
      <c r="U72" s="2738"/>
      <c r="V72" s="2738"/>
      <c r="W72" s="2738"/>
      <c r="X72" s="2738"/>
      <c r="Y72" s="2738"/>
      <c r="Z72" s="2738"/>
      <c r="AA72" s="2738"/>
      <c r="AB72" s="2738"/>
      <c r="AC72" s="2738"/>
    </row>
    <row r="73" spans="1:29" s="422" customFormat="1" ht="15.75" thickTop="1">
      <c r="A73" s="502"/>
      <c r="B73" s="487">
        <f>B13</f>
        <v>111</v>
      </c>
      <c r="C73" s="503"/>
      <c r="D73" s="503"/>
      <c r="E73" s="503"/>
      <c r="F73" s="503"/>
      <c r="G73" s="503"/>
      <c r="H73" s="504"/>
      <c r="I73" s="504"/>
      <c r="J73" s="504"/>
      <c r="K73" s="504"/>
      <c r="L73" s="505"/>
      <c r="M73" s="506"/>
      <c r="N73" s="2746"/>
      <c r="O73" s="2746"/>
      <c r="P73" s="2755"/>
      <c r="Q73" s="2740"/>
      <c r="R73" s="2738"/>
      <c r="S73" s="2738"/>
      <c r="T73" s="2738"/>
      <c r="U73" s="2738"/>
      <c r="V73" s="2738"/>
      <c r="W73" s="2738"/>
      <c r="X73" s="2738"/>
      <c r="Y73" s="2738"/>
      <c r="Z73" s="2738"/>
      <c r="AA73" s="2738"/>
      <c r="AB73" s="2738"/>
      <c r="AC73" s="2738"/>
    </row>
    <row r="74" spans="1:29" s="422" customFormat="1" ht="15.75" thickBot="1">
      <c r="A74" s="502"/>
      <c r="B74" s="492"/>
      <c r="C74" s="509"/>
      <c r="D74" s="509"/>
      <c r="E74" s="509"/>
      <c r="F74" s="509"/>
      <c r="G74" s="509"/>
      <c r="H74" s="511"/>
      <c r="I74" s="511"/>
      <c r="J74" s="511"/>
      <c r="K74" s="511"/>
      <c r="L74" s="511"/>
      <c r="M74" s="512"/>
      <c r="N74" s="2746"/>
      <c r="O74" s="2746"/>
      <c r="P74" s="2754"/>
      <c r="Q74" s="2737"/>
      <c r="R74" s="2738"/>
      <c r="S74" s="2738"/>
      <c r="T74" s="2738"/>
      <c r="U74" s="2738"/>
      <c r="V74" s="2738"/>
      <c r="W74" s="2738"/>
      <c r="X74" s="2738"/>
      <c r="Y74" s="2738"/>
      <c r="Z74" s="2738"/>
      <c r="AA74" s="2738"/>
      <c r="AB74" s="2738"/>
      <c r="AC74" s="2738"/>
    </row>
    <row r="75" spans="1:29" s="422" customFormat="1" ht="15.75" thickTop="1">
      <c r="A75" s="502"/>
      <c r="B75" s="495">
        <f>B14</f>
        <v>111</v>
      </c>
      <c r="C75" s="472"/>
      <c r="D75" s="472"/>
      <c r="E75" s="472"/>
      <c r="F75" s="472"/>
      <c r="G75" s="472"/>
      <c r="H75" s="513"/>
      <c r="I75" s="513"/>
      <c r="J75" s="513"/>
      <c r="K75" s="513"/>
      <c r="L75" s="514"/>
      <c r="M75" s="515"/>
      <c r="N75" s="2746"/>
      <c r="O75" s="2746"/>
      <c r="P75" s="2756"/>
      <c r="Q75" s="2737"/>
      <c r="R75" s="2738"/>
      <c r="S75" s="2738"/>
      <c r="T75" s="2738"/>
      <c r="U75" s="2738"/>
      <c r="V75" s="2738"/>
      <c r="W75" s="2738"/>
      <c r="X75" s="2738"/>
      <c r="Y75" s="2738"/>
      <c r="Z75" s="2738"/>
      <c r="AA75" s="2738"/>
      <c r="AB75" s="2738"/>
      <c r="AC75" s="2738"/>
    </row>
    <row r="76" spans="1:29" s="422" customFormat="1" ht="15.75" thickBot="1">
      <c r="A76" s="517"/>
      <c r="B76" s="518"/>
      <c r="C76" s="519"/>
      <c r="D76" s="519"/>
      <c r="E76" s="519"/>
      <c r="F76" s="519"/>
      <c r="G76" s="519"/>
      <c r="H76" s="520"/>
      <c r="I76" s="520"/>
      <c r="J76" s="520"/>
      <c r="K76" s="520"/>
      <c r="L76" s="520"/>
      <c r="M76" s="521"/>
      <c r="N76" s="2746"/>
      <c r="O76" s="2746"/>
      <c r="P76" s="2754"/>
      <c r="Q76" s="2737"/>
      <c r="R76" s="2738"/>
      <c r="S76" s="2738"/>
      <c r="T76" s="2738"/>
      <c r="U76" s="2738"/>
      <c r="V76" s="2738"/>
      <c r="W76" s="2738"/>
      <c r="X76" s="2738"/>
      <c r="Y76" s="2738"/>
      <c r="Z76" s="2738"/>
      <c r="AA76" s="2738"/>
      <c r="AB76" s="2738"/>
      <c r="AC76" s="2738"/>
    </row>
    <row r="77" spans="1:29">
      <c r="A77" s="476" t="s">
        <v>1687</v>
      </c>
      <c r="B77" s="477" t="s">
        <v>1818</v>
      </c>
      <c r="C77" s="522" t="s">
        <v>1718</v>
      </c>
      <c r="D77" s="522" t="s">
        <v>1719</v>
      </c>
      <c r="E77" s="522" t="s">
        <v>1720</v>
      </c>
      <c r="F77" s="522" t="s">
        <v>1721</v>
      </c>
      <c r="G77" s="522" t="s">
        <v>1722</v>
      </c>
      <c r="H77" s="478"/>
      <c r="I77" s="478"/>
      <c r="J77" s="478"/>
      <c r="K77" s="523"/>
      <c r="L77" s="524"/>
      <c r="M77" s="525"/>
      <c r="N77" s="2744"/>
      <c r="O77" s="2744"/>
      <c r="P77" s="2757"/>
      <c r="Q77" s="2730"/>
      <c r="R77" s="2716"/>
      <c r="S77" s="2716"/>
      <c r="T77" s="2716"/>
      <c r="U77" s="2716"/>
      <c r="V77" s="2716"/>
      <c r="W77" s="2716"/>
      <c r="X77" s="2716"/>
      <c r="Y77" s="2716"/>
      <c r="Z77" s="2716"/>
      <c r="AA77" s="2716"/>
      <c r="AB77" s="2716"/>
      <c r="AC77" s="2716"/>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5"/>
      <c r="O78" s="2745"/>
      <c r="P78" s="2753"/>
      <c r="Q78" s="2730"/>
      <c r="R78" s="2716"/>
      <c r="S78" s="2716"/>
      <c r="T78" s="2716"/>
      <c r="U78" s="2716"/>
      <c r="V78" s="2716"/>
      <c r="W78" s="2716"/>
      <c r="X78" s="2716"/>
      <c r="Y78" s="2716"/>
      <c r="Z78" s="2716"/>
      <c r="AA78" s="2716"/>
      <c r="AB78" s="2716"/>
      <c r="AC78" s="2716"/>
    </row>
    <row r="79" spans="1:29" ht="15.75" thickTop="1">
      <c r="A79" s="483"/>
      <c r="B79" s="487" t="s">
        <v>1723</v>
      </c>
      <c r="C79" s="527" t="s">
        <v>1718</v>
      </c>
      <c r="D79" s="527" t="s">
        <v>1719</v>
      </c>
      <c r="E79" s="527" t="s">
        <v>1720</v>
      </c>
      <c r="F79" s="527" t="s">
        <v>1721</v>
      </c>
      <c r="G79" s="527" t="s">
        <v>1722</v>
      </c>
      <c r="H79" s="488"/>
      <c r="I79" s="488"/>
      <c r="J79" s="488"/>
      <c r="K79" s="489"/>
      <c r="L79" s="490"/>
      <c r="M79" s="491"/>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5"/>
      <c r="O80" s="2745"/>
      <c r="P80" s="2753"/>
      <c r="Q80" s="2730"/>
      <c r="R80" s="2716"/>
      <c r="S80" s="2716"/>
      <c r="T80" s="2716"/>
      <c r="U80" s="2716"/>
      <c r="V80" s="2716"/>
      <c r="W80" s="2716"/>
      <c r="X80" s="2716"/>
      <c r="Y80" s="2716"/>
      <c r="Z80" s="2716"/>
      <c r="AA80" s="2716"/>
      <c r="AB80" s="2716"/>
      <c r="AC80" s="2716"/>
    </row>
    <row r="81" spans="1:29" ht="15.75" thickTop="1">
      <c r="A81" s="483"/>
      <c r="B81" s="487" t="s">
        <v>1724</v>
      </c>
      <c r="C81" s="527" t="s">
        <v>1718</v>
      </c>
      <c r="D81" s="527" t="s">
        <v>1719</v>
      </c>
      <c r="E81" s="527" t="s">
        <v>1720</v>
      </c>
      <c r="F81" s="527" t="s">
        <v>1721</v>
      </c>
      <c r="G81" s="527" t="s">
        <v>1722</v>
      </c>
      <c r="H81" s="488"/>
      <c r="I81" s="488"/>
      <c r="J81" s="488"/>
      <c r="K81" s="489"/>
      <c r="L81" s="490"/>
      <c r="M81" s="491"/>
      <c r="N81" s="2744"/>
      <c r="O81" s="2744"/>
      <c r="P81" s="2753"/>
      <c r="Q81" s="2730"/>
      <c r="R81" s="2716"/>
      <c r="S81" s="2716"/>
      <c r="T81" s="2716"/>
      <c r="U81" s="2716"/>
      <c r="V81" s="2716"/>
      <c r="W81" s="2716"/>
      <c r="X81" s="2716"/>
      <c r="Y81" s="2716"/>
      <c r="Z81" s="2716"/>
      <c r="AA81" s="2716"/>
      <c r="AB81" s="2716"/>
      <c r="AC81" s="2716"/>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5"/>
      <c r="O82" s="2745"/>
      <c r="P82" s="2753"/>
      <c r="Q82" s="2730"/>
      <c r="R82" s="2716"/>
      <c r="S82" s="2716"/>
      <c r="T82" s="2716"/>
      <c r="U82" s="2716"/>
      <c r="V82" s="2716"/>
      <c r="W82" s="2716"/>
      <c r="X82" s="2716"/>
      <c r="Y82" s="2716"/>
      <c r="Z82" s="2716"/>
      <c r="AA82" s="2716"/>
      <c r="AB82" s="2716"/>
      <c r="AC82" s="2716"/>
    </row>
    <row r="83" spans="1:29" ht="15.75" thickTop="1">
      <c r="A83" s="483"/>
      <c r="B83" s="495" t="s">
        <v>1810</v>
      </c>
      <c r="C83" s="608" t="s">
        <v>1796</v>
      </c>
      <c r="D83" s="608" t="s">
        <v>1797</v>
      </c>
      <c r="E83" s="608" t="s">
        <v>1798</v>
      </c>
      <c r="F83" s="608" t="s">
        <v>1799</v>
      </c>
      <c r="G83" s="608" t="s">
        <v>1800</v>
      </c>
      <c r="H83" s="488"/>
      <c r="I83" s="488"/>
      <c r="J83" s="488"/>
      <c r="K83" s="488"/>
      <c r="L83" s="488"/>
      <c r="M83" s="1129"/>
      <c r="N83" s="2745"/>
      <c r="O83" s="2745"/>
      <c r="P83" s="2753"/>
      <c r="Q83" s="2730"/>
      <c r="R83" s="2716"/>
      <c r="S83" s="2716"/>
      <c r="T83" s="2716"/>
      <c r="U83" s="2716"/>
      <c r="V83" s="2716"/>
      <c r="W83" s="2716"/>
      <c r="X83" s="2716"/>
      <c r="Y83" s="2716"/>
      <c r="Z83" s="2716"/>
      <c r="AA83" s="2716"/>
      <c r="AB83" s="2716"/>
      <c r="AC83" s="2716"/>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5"/>
      <c r="O84" s="2745"/>
      <c r="P84" s="2753"/>
      <c r="Q84" s="2730"/>
      <c r="R84" s="2716"/>
      <c r="S84" s="2716"/>
      <c r="T84" s="2716"/>
      <c r="U84" s="2716"/>
      <c r="V84" s="2716"/>
      <c r="W84" s="2716"/>
      <c r="X84" s="2716"/>
      <c r="Y84" s="2716"/>
      <c r="Z84" s="2716"/>
      <c r="AA84" s="2716"/>
      <c r="AB84" s="2716"/>
      <c r="AC84" s="2716"/>
    </row>
    <row r="85" spans="1:29" ht="15.75" thickTop="1">
      <c r="A85" s="483"/>
      <c r="B85" s="487" t="s">
        <v>1819</v>
      </c>
      <c r="C85" s="527" t="s">
        <v>1718</v>
      </c>
      <c r="D85" s="527" t="s">
        <v>1719</v>
      </c>
      <c r="E85" s="527" t="s">
        <v>1720</v>
      </c>
      <c r="F85" s="527" t="s">
        <v>1721</v>
      </c>
      <c r="G85" s="527" t="s">
        <v>1722</v>
      </c>
      <c r="H85" s="488"/>
      <c r="I85" s="488"/>
      <c r="J85" s="488"/>
      <c r="K85" s="489"/>
      <c r="L85" s="490"/>
      <c r="M85" s="491"/>
      <c r="N85" s="2744"/>
      <c r="O85" s="2744"/>
      <c r="P85" s="2753"/>
      <c r="Q85" s="2730"/>
      <c r="R85" s="2716"/>
      <c r="S85" s="2716"/>
      <c r="T85" s="2716"/>
      <c r="U85" s="2716"/>
      <c r="V85" s="2716"/>
      <c r="W85" s="2716"/>
      <c r="X85" s="2716"/>
      <c r="Y85" s="2716"/>
      <c r="Z85" s="2716"/>
      <c r="AA85" s="2716"/>
      <c r="AB85" s="2716"/>
      <c r="AC85" s="2716"/>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5"/>
      <c r="O86" s="2745"/>
      <c r="P86" s="2753"/>
      <c r="Q86" s="2730"/>
      <c r="R86" s="2716"/>
      <c r="S86" s="2716"/>
      <c r="T86" s="2716"/>
      <c r="U86" s="2716"/>
      <c r="V86" s="2716"/>
      <c r="W86" s="2716"/>
      <c r="X86" s="2716"/>
      <c r="Y86" s="2716"/>
      <c r="Z86" s="2716"/>
      <c r="AA86" s="2716"/>
      <c r="AB86" s="2716"/>
      <c r="AC86" s="2716"/>
    </row>
    <row r="87" spans="1:29" s="108" customFormat="1" ht="27.75" thickTop="1">
      <c r="A87" s="528"/>
      <c r="B87" s="487" t="s">
        <v>1820</v>
      </c>
      <c r="C87" s="503"/>
      <c r="D87" s="503"/>
      <c r="E87" s="503"/>
      <c r="F87" s="503"/>
      <c r="G87" s="503"/>
      <c r="H87" s="503"/>
      <c r="I87" s="503"/>
      <c r="J87" s="503"/>
      <c r="K87" s="503"/>
      <c r="L87" s="529"/>
      <c r="M87" s="530"/>
      <c r="N87" s="2743"/>
      <c r="O87" s="2743"/>
      <c r="P87" s="2753"/>
      <c r="Q87" s="2730"/>
      <c r="R87" s="2652"/>
      <c r="S87" s="2652"/>
      <c r="T87" s="2652"/>
      <c r="U87" s="2652"/>
      <c r="V87" s="2652"/>
      <c r="W87" s="2652"/>
      <c r="X87" s="2652"/>
      <c r="Y87" s="2652"/>
      <c r="Z87" s="2652"/>
      <c r="AA87" s="2652"/>
      <c r="AB87" s="2652"/>
      <c r="AC87" s="2652"/>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8"/>
      <c r="B89" s="487" t="str">
        <f>B27</f>
        <v>楼层</v>
      </c>
      <c r="C89" s="503"/>
      <c r="D89" s="503"/>
      <c r="E89" s="503"/>
      <c r="F89" s="1921"/>
      <c r="G89" s="503"/>
      <c r="H89" s="503"/>
      <c r="I89" s="503"/>
      <c r="J89" s="503"/>
      <c r="K89" s="503"/>
      <c r="L89" s="503"/>
      <c r="M89" s="530"/>
      <c r="N89" s="2743"/>
      <c r="O89" s="2743"/>
      <c r="P89" s="2753"/>
      <c r="Q89" s="2730"/>
      <c r="R89" s="2652"/>
      <c r="S89" s="2652"/>
      <c r="T89" s="2652"/>
      <c r="U89" s="2652"/>
      <c r="V89" s="2652"/>
      <c r="W89" s="2652"/>
      <c r="X89" s="2652"/>
      <c r="Y89" s="2652"/>
      <c r="Z89" s="2652"/>
      <c r="AA89" s="2652"/>
      <c r="AB89" s="2652"/>
      <c r="AC89" s="2652"/>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2"/>
      <c r="B91" s="487" t="str">
        <f>B28</f>
        <v>朝向</v>
      </c>
      <c r="C91" s="503"/>
      <c r="D91" s="503"/>
      <c r="E91" s="503"/>
      <c r="F91" s="503"/>
      <c r="G91" s="503"/>
      <c r="H91" s="504"/>
      <c r="I91" s="504"/>
      <c r="J91" s="504"/>
      <c r="K91" s="504"/>
      <c r="L91" s="505"/>
      <c r="M91" s="506"/>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3"/>
      <c r="B93" s="487">
        <f>B29</f>
        <v>111</v>
      </c>
      <c r="C93" s="503"/>
      <c r="D93" s="503"/>
      <c r="E93" s="503"/>
      <c r="F93" s="503"/>
      <c r="G93" s="503"/>
      <c r="H93" s="503"/>
      <c r="I93" s="503"/>
      <c r="J93" s="503"/>
      <c r="K93" s="503"/>
      <c r="L93" s="529"/>
      <c r="M93" s="530"/>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509"/>
      <c r="D94" s="485"/>
      <c r="E94" s="485"/>
      <c r="F94" s="485"/>
      <c r="G94" s="485"/>
      <c r="H94" s="485"/>
      <c r="I94" s="485"/>
      <c r="J94" s="485"/>
      <c r="K94" s="485"/>
      <c r="L94" s="485"/>
      <c r="M94" s="486"/>
      <c r="N94" s="2745"/>
      <c r="O94" s="2745"/>
      <c r="P94" s="2753"/>
      <c r="Q94" s="2730"/>
      <c r="R94" s="2716"/>
      <c r="S94" s="2716"/>
      <c r="T94" s="2716"/>
      <c r="U94" s="2716"/>
      <c r="V94" s="2716"/>
      <c r="W94" s="2716"/>
      <c r="X94" s="2716"/>
      <c r="Y94" s="2716"/>
      <c r="Z94" s="2716"/>
      <c r="AA94" s="2716"/>
      <c r="AB94" s="2716"/>
      <c r="AC94" s="2716"/>
    </row>
    <row r="95" spans="1:29" ht="15.75" thickTop="1">
      <c r="A95" s="483"/>
      <c r="B95" s="487">
        <f>B30</f>
        <v>111</v>
      </c>
      <c r="C95" s="503"/>
      <c r="D95" s="503"/>
      <c r="E95" s="503"/>
      <c r="F95" s="503"/>
      <c r="G95" s="532"/>
      <c r="H95" s="532"/>
      <c r="I95" s="532"/>
      <c r="J95" s="532"/>
      <c r="K95" s="533"/>
      <c r="L95" s="534"/>
      <c r="M95" s="535"/>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509"/>
      <c r="D96" s="509"/>
      <c r="E96" s="509"/>
      <c r="F96" s="509"/>
      <c r="G96" s="485"/>
      <c r="H96" s="485"/>
      <c r="I96" s="485"/>
      <c r="J96" s="485"/>
      <c r="K96" s="485"/>
      <c r="L96" s="485"/>
      <c r="M96" s="486"/>
      <c r="N96" s="2745"/>
      <c r="O96" s="2745"/>
      <c r="P96" s="2753"/>
      <c r="Q96" s="2730"/>
      <c r="R96" s="2716"/>
      <c r="S96" s="2716"/>
      <c r="T96" s="2716"/>
      <c r="U96" s="2716"/>
      <c r="V96" s="2716"/>
      <c r="W96" s="2716"/>
      <c r="X96" s="2716"/>
      <c r="Y96" s="2716"/>
      <c r="Z96" s="2716"/>
      <c r="AA96" s="2716"/>
      <c r="AB96" s="2716"/>
      <c r="AC96" s="2716"/>
    </row>
    <row r="97" spans="1:29" ht="15.75" thickTop="1">
      <c r="A97" s="483"/>
      <c r="B97" s="487">
        <f>B31</f>
        <v>111</v>
      </c>
      <c r="C97" s="503"/>
      <c r="D97" s="503"/>
      <c r="E97" s="503"/>
      <c r="F97" s="503"/>
      <c r="G97" s="532"/>
      <c r="H97" s="532"/>
      <c r="I97" s="532"/>
      <c r="J97" s="532"/>
      <c r="K97" s="533"/>
      <c r="L97" s="534"/>
      <c r="M97" s="535"/>
      <c r="N97" s="2744"/>
      <c r="O97" s="2744"/>
      <c r="P97" s="2753"/>
      <c r="Q97" s="2730"/>
      <c r="R97" s="2716"/>
      <c r="S97" s="2716"/>
      <c r="T97" s="2716"/>
      <c r="U97" s="2716"/>
      <c r="V97" s="2716"/>
      <c r="W97" s="2716"/>
      <c r="X97" s="2716"/>
      <c r="Y97" s="2716"/>
      <c r="Z97" s="2716"/>
      <c r="AA97" s="2716"/>
      <c r="AB97" s="2716"/>
      <c r="AC97" s="2716"/>
    </row>
    <row r="98" spans="1:29" ht="15.75" thickBot="1">
      <c r="A98" s="483"/>
      <c r="B98" s="492"/>
      <c r="C98" s="509"/>
      <c r="D98" s="485"/>
      <c r="E98" s="485"/>
      <c r="F98" s="485"/>
      <c r="G98" s="485"/>
      <c r="H98" s="485"/>
      <c r="I98" s="485"/>
      <c r="J98" s="485"/>
      <c r="K98" s="485"/>
      <c r="L98" s="485"/>
      <c r="M98" s="486"/>
      <c r="N98" s="2745"/>
      <c r="O98" s="2745"/>
      <c r="P98" s="2753"/>
      <c r="Q98" s="2730"/>
      <c r="R98" s="2716"/>
      <c r="S98" s="2716"/>
      <c r="T98" s="2716"/>
      <c r="U98" s="2716"/>
      <c r="V98" s="2716"/>
      <c r="W98" s="2716"/>
      <c r="X98" s="2716"/>
      <c r="Y98" s="2716"/>
      <c r="Z98" s="2716"/>
      <c r="AA98" s="2716"/>
      <c r="AB98" s="2716"/>
      <c r="AC98" s="2716"/>
    </row>
    <row r="99" spans="1:29" ht="15.75" thickTop="1">
      <c r="A99" s="483"/>
      <c r="B99" s="495">
        <f>B32</f>
        <v>111</v>
      </c>
      <c r="C99" s="472"/>
      <c r="D99" s="472"/>
      <c r="E99" s="472"/>
      <c r="F99" s="472"/>
      <c r="G99" s="536"/>
      <c r="H99" s="536"/>
      <c r="I99" s="536"/>
      <c r="J99" s="536"/>
      <c r="K99" s="537"/>
      <c r="L99" s="538"/>
      <c r="M99" s="539"/>
      <c r="N99" s="2744"/>
      <c r="O99" s="2744"/>
      <c r="P99" s="2753"/>
      <c r="Q99" s="2730"/>
      <c r="R99" s="2716"/>
      <c r="S99" s="2716"/>
      <c r="T99" s="2716"/>
      <c r="U99" s="2716"/>
      <c r="V99" s="2716"/>
      <c r="W99" s="2716"/>
      <c r="X99" s="2716"/>
      <c r="Y99" s="2716"/>
      <c r="Z99" s="2716"/>
      <c r="AA99" s="2716"/>
      <c r="AB99" s="2716"/>
      <c r="AC99" s="2716"/>
    </row>
    <row r="100" spans="1:29" ht="15.75" thickBot="1">
      <c r="A100" s="1922"/>
      <c r="B100" s="518"/>
      <c r="C100" s="519"/>
      <c r="D100" s="519"/>
      <c r="E100" s="519"/>
      <c r="F100" s="519"/>
      <c r="G100" s="540"/>
      <c r="H100" s="540"/>
      <c r="I100" s="540"/>
      <c r="J100" s="540"/>
      <c r="K100" s="540"/>
      <c r="L100" s="540"/>
      <c r="M100" s="541"/>
      <c r="N100" s="2745"/>
      <c r="O100" s="2745"/>
      <c r="P100" s="2753"/>
      <c r="Q100" s="2730"/>
      <c r="R100" s="2716"/>
      <c r="S100" s="2716"/>
      <c r="T100" s="2716"/>
      <c r="U100" s="2716"/>
      <c r="V100" s="2716"/>
      <c r="W100" s="2716"/>
      <c r="X100" s="2716"/>
      <c r="Y100" s="2716"/>
      <c r="Z100" s="2716"/>
      <c r="AA100" s="2716"/>
      <c r="AB100" s="2716"/>
      <c r="AC100" s="2716"/>
    </row>
    <row r="101" spans="1:29">
      <c r="A101" s="476" t="s">
        <v>1691</v>
      </c>
      <c r="B101" s="477" t="s">
        <v>1733</v>
      </c>
      <c r="C101" s="479"/>
      <c r="D101" s="479"/>
      <c r="E101" s="479"/>
      <c r="F101" s="479"/>
      <c r="G101" s="479"/>
      <c r="H101" s="479"/>
      <c r="I101" s="479"/>
      <c r="J101" s="479"/>
      <c r="K101" s="480"/>
      <c r="L101" s="481"/>
      <c r="M101" s="482"/>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2"/>
      <c r="B104" s="543"/>
      <c r="C104" s="544"/>
      <c r="D104" s="544"/>
      <c r="E104" s="544"/>
      <c r="F104" s="544"/>
      <c r="G104" s="544"/>
      <c r="H104" s="544"/>
      <c r="I104" s="544"/>
      <c r="J104" s="545"/>
      <c r="K104" s="545"/>
      <c r="L104" s="546"/>
      <c r="M104" s="547"/>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2"/>
      <c r="B105" s="492"/>
      <c r="C105" s="509"/>
      <c r="D105" s="485"/>
      <c r="E105" s="485"/>
      <c r="F105" s="485"/>
      <c r="G105" s="485"/>
      <c r="H105" s="485"/>
      <c r="I105" s="485"/>
      <c r="J105" s="485"/>
      <c r="K105" s="485"/>
      <c r="L105" s="485"/>
      <c r="M105" s="486"/>
      <c r="N105" s="2745"/>
      <c r="O105" s="2745"/>
      <c r="P105" s="2754"/>
      <c r="Q105" s="2737"/>
      <c r="R105" s="2738"/>
      <c r="S105" s="2738"/>
      <c r="T105" s="2738"/>
      <c r="U105" s="2738"/>
      <c r="V105" s="2738"/>
      <c r="W105" s="2738"/>
      <c r="X105" s="2738"/>
      <c r="Y105" s="2738"/>
      <c r="Z105" s="2738"/>
      <c r="AA105" s="2738"/>
      <c r="AB105" s="2738"/>
      <c r="AC105" s="2738"/>
    </row>
    <row r="106" spans="1:29" ht="15" thickTop="1">
      <c r="A106" s="548"/>
      <c r="B106" s="487" t="s">
        <v>1735</v>
      </c>
      <c r="C106" s="503"/>
      <c r="D106" s="503"/>
      <c r="E106" s="532"/>
      <c r="F106" s="532"/>
      <c r="G106" s="532"/>
      <c r="H106" s="532"/>
      <c r="I106" s="532"/>
      <c r="J106" s="532"/>
      <c r="K106" s="533"/>
      <c r="L106" s="534"/>
      <c r="M106" s="535"/>
      <c r="N106" s="2744"/>
      <c r="O106" s="2744"/>
      <c r="P106" s="2753"/>
      <c r="Q106" s="2730"/>
      <c r="R106" s="2716"/>
      <c r="S106" s="2716"/>
      <c r="T106" s="2716"/>
      <c r="U106" s="2716"/>
      <c r="V106" s="2716"/>
      <c r="W106" s="2716"/>
      <c r="X106" s="2716"/>
      <c r="Y106" s="2716"/>
      <c r="Z106" s="2716"/>
      <c r="AA106" s="2716"/>
      <c r="AB106" s="2716"/>
      <c r="AC106" s="2716"/>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8"/>
      <c r="B108" s="487" t="s">
        <v>1737</v>
      </c>
      <c r="C108" s="503"/>
      <c r="D108" s="503"/>
      <c r="E108" s="503"/>
      <c r="F108" s="532"/>
      <c r="G108" s="532"/>
      <c r="H108" s="532"/>
      <c r="I108" s="532"/>
      <c r="J108" s="532"/>
      <c r="K108" s="533"/>
      <c r="L108" s="534"/>
      <c r="M108" s="535"/>
      <c r="N108" s="2744"/>
      <c r="O108" s="2744"/>
      <c r="P108" s="2753"/>
      <c r="Q108" s="2730"/>
      <c r="R108" s="2716"/>
      <c r="S108" s="2716"/>
      <c r="T108" s="2716"/>
      <c r="U108" s="2716"/>
      <c r="V108" s="2716"/>
      <c r="W108" s="2716"/>
      <c r="X108" s="2716"/>
      <c r="Y108" s="2716"/>
      <c r="Z108" s="2716"/>
      <c r="AA108" s="2716"/>
      <c r="AB108" s="2716"/>
      <c r="AC108" s="2716"/>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4"/>
      <c r="O110" s="2744"/>
      <c r="P110" s="2753"/>
      <c r="Q110" s="2730"/>
      <c r="R110" s="2716"/>
      <c r="S110" s="2716"/>
      <c r="T110" s="2716"/>
      <c r="U110" s="2716"/>
      <c r="V110" s="2716"/>
      <c r="W110" s="2716"/>
      <c r="X110" s="2716"/>
      <c r="Y110" s="2716"/>
      <c r="Z110" s="2716"/>
      <c r="AA110" s="2716"/>
      <c r="AB110" s="2716"/>
      <c r="AC110" s="2716"/>
    </row>
    <row r="111" spans="1:29">
      <c r="A111" s="548"/>
      <c r="B111" s="495"/>
      <c r="C111" s="552">
        <v>0.5</v>
      </c>
      <c r="D111" s="552">
        <v>0.6</v>
      </c>
      <c r="E111" s="552">
        <v>0.7</v>
      </c>
      <c r="F111" s="552">
        <v>0.8</v>
      </c>
      <c r="G111" s="552">
        <v>0.9</v>
      </c>
      <c r="H111" s="552">
        <v>1.0001</v>
      </c>
      <c r="I111" s="571"/>
      <c r="J111" s="571"/>
      <c r="K111" s="572"/>
      <c r="L111" s="573"/>
      <c r="M111" s="574"/>
      <c r="N111" s="2744"/>
      <c r="O111" s="2744"/>
      <c r="P111" s="2753"/>
      <c r="Q111" s="2730"/>
      <c r="R111" s="2716"/>
      <c r="S111" s="2716"/>
      <c r="T111" s="2716"/>
      <c r="U111" s="2716"/>
      <c r="V111" s="2716"/>
      <c r="W111" s="2716"/>
      <c r="X111" s="2716"/>
      <c r="Y111" s="2716"/>
      <c r="Z111" s="2716"/>
      <c r="AA111" s="2716"/>
      <c r="AB111" s="2716"/>
      <c r="AC111" s="2716"/>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2"/>
      <c r="B113" s="487" t="s">
        <v>1821</v>
      </c>
      <c r="C113" s="503"/>
      <c r="D113" s="503"/>
      <c r="E113" s="503"/>
      <c r="F113" s="503"/>
      <c r="G113" s="503"/>
      <c r="H113" s="532"/>
      <c r="I113" s="532"/>
      <c r="J113" s="532"/>
      <c r="K113" s="533"/>
      <c r="L113" s="534"/>
      <c r="M113" s="535"/>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8"/>
      <c r="B115" s="487" t="s">
        <v>1738</v>
      </c>
      <c r="C115" s="503"/>
      <c r="D115" s="503"/>
      <c r="E115" s="532"/>
      <c r="F115" s="532"/>
      <c r="G115" s="532"/>
      <c r="H115" s="532"/>
      <c r="I115" s="532"/>
      <c r="J115" s="532"/>
      <c r="K115" s="533"/>
      <c r="L115" s="534"/>
      <c r="M115" s="535"/>
      <c r="N115" s="2744"/>
      <c r="O115" s="2744"/>
      <c r="P115" s="2753"/>
      <c r="Q115" s="2730"/>
      <c r="R115" s="2716"/>
      <c r="S115" s="2716"/>
      <c r="T115" s="2716"/>
      <c r="U115" s="2716"/>
      <c r="V115" s="2716"/>
      <c r="W115" s="2716"/>
      <c r="X115" s="2716"/>
      <c r="Y115" s="2716"/>
      <c r="Z115" s="2716"/>
      <c r="AA115" s="2716"/>
      <c r="AB115" s="2716"/>
      <c r="AC115" s="2716"/>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8"/>
      <c r="B117" s="487" t="s">
        <v>1739</v>
      </c>
      <c r="C117" s="503"/>
      <c r="D117" s="503"/>
      <c r="E117" s="503"/>
      <c r="F117" s="503"/>
      <c r="G117" s="503"/>
      <c r="H117" s="532"/>
      <c r="I117" s="532"/>
      <c r="J117" s="532"/>
      <c r="K117" s="533"/>
      <c r="L117" s="534"/>
      <c r="M117" s="535"/>
      <c r="N117" s="2744"/>
      <c r="O117" s="2744"/>
      <c r="P117" s="2753"/>
      <c r="Q117" s="2730"/>
      <c r="R117" s="2716"/>
      <c r="S117" s="2716"/>
      <c r="T117" s="2716"/>
      <c r="U117" s="2716"/>
      <c r="V117" s="2716"/>
      <c r="W117" s="2716"/>
      <c r="X117" s="2716"/>
      <c r="Y117" s="2716"/>
      <c r="Z117" s="2716"/>
      <c r="AA117" s="2716"/>
      <c r="AB117" s="2716"/>
      <c r="AC117" s="2716"/>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5"/>
      <c r="O118" s="2745"/>
      <c r="P118" s="2753"/>
      <c r="Q118" s="2730"/>
      <c r="R118" s="2716"/>
      <c r="S118" s="2716"/>
      <c r="T118" s="2716"/>
      <c r="U118" s="2716"/>
      <c r="V118" s="2716"/>
      <c r="W118" s="2716"/>
      <c r="X118" s="2716"/>
      <c r="Y118" s="2716"/>
      <c r="Z118" s="2716"/>
      <c r="AA118" s="2716"/>
      <c r="AB118" s="2716"/>
      <c r="AC118" s="2716"/>
    </row>
    <row r="119" spans="1:29" ht="15" thickTop="1">
      <c r="A119" s="548"/>
      <c r="B119" s="584" t="s">
        <v>1822</v>
      </c>
      <c r="C119" s="532"/>
      <c r="D119" s="532"/>
      <c r="E119" s="532"/>
      <c r="F119" s="532"/>
      <c r="G119" s="532"/>
      <c r="H119" s="532"/>
      <c r="I119" s="532"/>
      <c r="J119" s="532"/>
      <c r="K119" s="532"/>
      <c r="L119" s="1962"/>
      <c r="M119" s="1963"/>
      <c r="N119" s="2745"/>
      <c r="O119" s="2745"/>
      <c r="P119" s="2758"/>
      <c r="Q119" s="2759"/>
      <c r="R119" s="2716"/>
      <c r="S119" s="2716"/>
      <c r="T119" s="2716"/>
      <c r="U119" s="2716"/>
      <c r="V119" s="2716"/>
      <c r="W119" s="2716"/>
      <c r="X119" s="2716"/>
      <c r="Y119" s="2716"/>
      <c r="Z119" s="2716"/>
      <c r="AA119" s="2716"/>
      <c r="AB119" s="2716"/>
      <c r="AC119" s="2716"/>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2"/>
      <c r="B121" s="487" t="s">
        <v>1805</v>
      </c>
      <c r="C121" s="503"/>
      <c r="D121" s="503"/>
      <c r="E121" s="503"/>
      <c r="F121" s="532"/>
      <c r="G121" s="504"/>
      <c r="H121" s="504"/>
      <c r="I121" s="504"/>
      <c r="J121" s="504"/>
      <c r="K121" s="504"/>
      <c r="L121" s="505"/>
      <c r="M121" s="506"/>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2"/>
      <c r="B122" s="484"/>
      <c r="C122" s="509"/>
      <c r="D122" s="509"/>
      <c r="E122" s="509"/>
      <c r="F122" s="509"/>
      <c r="G122" s="509"/>
      <c r="H122" s="509"/>
      <c r="I122" s="509"/>
      <c r="J122" s="509"/>
      <c r="K122" s="509"/>
      <c r="L122" s="509"/>
      <c r="M122" s="509"/>
      <c r="N122" s="2746"/>
      <c r="O122" s="2746"/>
      <c r="P122" s="2754"/>
      <c r="Q122" s="2737"/>
      <c r="R122" s="2738"/>
      <c r="S122" s="2738"/>
      <c r="T122" s="2738"/>
      <c r="U122" s="2738"/>
      <c r="V122" s="2738"/>
      <c r="W122" s="2738"/>
      <c r="X122" s="2738"/>
      <c r="Y122" s="2738"/>
      <c r="Z122" s="2738"/>
      <c r="AA122" s="2738"/>
      <c r="AB122" s="2738"/>
      <c r="AC122" s="2738"/>
    </row>
    <row r="123" spans="1:29" ht="15" thickTop="1">
      <c r="A123" s="548"/>
      <c r="B123" s="487" t="s">
        <v>1741</v>
      </c>
      <c r="C123" s="503"/>
      <c r="D123" s="503"/>
      <c r="E123" s="503"/>
      <c r="F123" s="532"/>
      <c r="G123" s="532"/>
      <c r="H123" s="532"/>
      <c r="I123" s="532"/>
      <c r="J123" s="532"/>
      <c r="K123" s="533"/>
      <c r="L123" s="534"/>
      <c r="M123" s="535"/>
      <c r="N123" s="2744"/>
      <c r="O123" s="2744"/>
      <c r="P123" s="2753"/>
      <c r="Q123" s="2730"/>
      <c r="R123" s="2716"/>
      <c r="S123" s="2716"/>
      <c r="T123" s="2716"/>
      <c r="U123" s="2716"/>
      <c r="V123" s="2716"/>
      <c r="W123" s="2716"/>
      <c r="X123" s="2716"/>
      <c r="Y123" s="2716"/>
      <c r="Z123" s="2716"/>
      <c r="AA123" s="2716"/>
      <c r="AB123" s="2716"/>
      <c r="AC123" s="2716"/>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4"/>
      <c r="O125" s="2744"/>
      <c r="P125" s="2754"/>
      <c r="Q125" s="2730"/>
      <c r="R125" s="2716"/>
      <c r="S125" s="2716"/>
      <c r="T125" s="2716"/>
      <c r="U125" s="2716"/>
      <c r="V125" s="2716"/>
      <c r="W125" s="2716"/>
      <c r="X125" s="2716"/>
      <c r="Y125" s="2716"/>
      <c r="Z125" s="2716"/>
      <c r="AA125" s="2716"/>
      <c r="AB125" s="2716"/>
      <c r="AC125" s="2716"/>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2"/>
      <c r="B127" s="487">
        <f>B45</f>
        <v>111</v>
      </c>
      <c r="C127" s="503"/>
      <c r="D127" s="503"/>
      <c r="E127" s="503"/>
      <c r="F127" s="503"/>
      <c r="G127" s="503"/>
      <c r="H127" s="504"/>
      <c r="I127" s="504"/>
      <c r="J127" s="504"/>
      <c r="K127" s="504"/>
      <c r="L127" s="505"/>
      <c r="M127" s="506"/>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2"/>
      <c r="B128" s="492"/>
      <c r="C128" s="509"/>
      <c r="D128" s="485"/>
      <c r="E128" s="485"/>
      <c r="F128" s="485"/>
      <c r="G128" s="509"/>
      <c r="H128" s="511"/>
      <c r="I128" s="511"/>
      <c r="J128" s="511"/>
      <c r="K128" s="511"/>
      <c r="L128" s="511"/>
      <c r="M128" s="512"/>
      <c r="N128" s="2746"/>
      <c r="O128" s="2746"/>
      <c r="P128" s="2754"/>
      <c r="Q128" s="2737"/>
      <c r="R128" s="2738"/>
      <c r="S128" s="2738"/>
      <c r="T128" s="2738"/>
      <c r="U128" s="2738"/>
      <c r="V128" s="2738"/>
      <c r="W128" s="2738"/>
      <c r="X128" s="2738"/>
      <c r="Y128" s="2738"/>
      <c r="Z128" s="2738"/>
      <c r="AA128" s="2738"/>
      <c r="AB128" s="2738"/>
      <c r="AC128" s="2738"/>
    </row>
    <row r="129" spans="1:29" ht="15" thickTop="1">
      <c r="A129" s="548"/>
      <c r="B129" s="487">
        <f>B46</f>
        <v>111</v>
      </c>
      <c r="C129" s="503"/>
      <c r="D129" s="503"/>
      <c r="E129" s="503"/>
      <c r="F129" s="503"/>
      <c r="G129" s="532"/>
      <c r="H129" s="532"/>
      <c r="I129" s="532"/>
      <c r="J129" s="532"/>
      <c r="K129" s="533"/>
      <c r="L129" s="534"/>
      <c r="M129" s="535"/>
      <c r="N129" s="2744"/>
      <c r="O129" s="2744"/>
      <c r="P129" s="2753"/>
      <c r="Q129" s="2730"/>
      <c r="R129" s="2716"/>
      <c r="S129" s="2716"/>
      <c r="T129" s="2716"/>
      <c r="U129" s="2716"/>
      <c r="V129" s="2716"/>
      <c r="W129" s="2716"/>
      <c r="X129" s="2716"/>
      <c r="Y129" s="2716"/>
      <c r="Z129" s="2716"/>
      <c r="AA129" s="2716"/>
      <c r="AB129" s="2716"/>
      <c r="AC129" s="2716"/>
    </row>
    <row r="130" spans="1:29" ht="15.75" thickBot="1">
      <c r="A130" s="483"/>
      <c r="B130" s="492"/>
      <c r="C130" s="509"/>
      <c r="D130" s="509"/>
      <c r="E130" s="509"/>
      <c r="F130" s="509"/>
      <c r="G130" s="485"/>
      <c r="H130" s="485"/>
      <c r="I130" s="485"/>
      <c r="J130" s="485"/>
      <c r="K130" s="485"/>
      <c r="L130" s="485"/>
      <c r="M130" s="486"/>
      <c r="N130" s="2745"/>
      <c r="O130" s="2745"/>
      <c r="P130" s="2753"/>
      <c r="Q130" s="2730"/>
      <c r="R130" s="2716"/>
      <c r="S130" s="2716"/>
      <c r="T130" s="2716"/>
      <c r="U130" s="2716"/>
      <c r="V130" s="2716"/>
      <c r="W130" s="2716"/>
      <c r="X130" s="2716"/>
      <c r="Y130" s="2716"/>
      <c r="Z130" s="2716"/>
      <c r="AA130" s="2716"/>
      <c r="AB130" s="2716"/>
      <c r="AC130" s="2716"/>
    </row>
    <row r="131" spans="1:29" ht="15" thickTop="1">
      <c r="A131" s="548"/>
      <c r="B131" s="495">
        <f>B47</f>
        <v>111</v>
      </c>
      <c r="C131" s="472"/>
      <c r="D131" s="472"/>
      <c r="E131" s="472"/>
      <c r="F131" s="472"/>
      <c r="G131" s="536"/>
      <c r="H131" s="536"/>
      <c r="I131" s="536"/>
      <c r="J131" s="536"/>
      <c r="K131" s="472"/>
      <c r="L131" s="473"/>
      <c r="M131" s="539"/>
      <c r="N131" s="2744"/>
      <c r="O131" s="2744"/>
      <c r="P131" s="2753"/>
      <c r="Q131" s="2730"/>
      <c r="R131" s="2716"/>
      <c r="S131" s="2716"/>
      <c r="T131" s="2716"/>
      <c r="U131" s="2716"/>
      <c r="V131" s="2716"/>
      <c r="W131" s="2716"/>
      <c r="X131" s="2716"/>
      <c r="Y131" s="2716"/>
      <c r="Z131" s="2716"/>
      <c r="AA131" s="2716"/>
      <c r="AB131" s="2716"/>
      <c r="AC131" s="2716"/>
    </row>
    <row r="132" spans="1:29" ht="15.75" thickBot="1">
      <c r="A132" s="1922"/>
      <c r="B132" s="518"/>
      <c r="C132" s="519"/>
      <c r="D132" s="519"/>
      <c r="E132" s="519"/>
      <c r="F132" s="519"/>
      <c r="G132" s="540"/>
      <c r="H132" s="540"/>
      <c r="I132" s="540"/>
      <c r="J132" s="540"/>
      <c r="K132" s="540"/>
      <c r="L132" s="540"/>
      <c r="M132" s="541"/>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1823</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IF(E1="项目模式",IF(C2="——",ROUND(C43*D3/10000,0),ROUND(C43*D3/10000,0)-D2),IF(E1="单套模式",IF(C2="——",ROUND(C43*D3/10000,4),ROUND(C43*D3/10000,4)-D2)))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155268.5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913"/>
      <c r="M4" s="914"/>
      <c r="N4" s="914"/>
      <c r="O4" s="914"/>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29" ht="15">
      <c r="A5" s="358"/>
      <c r="B5" s="359"/>
      <c r="C5" s="3714" t="s">
        <v>1670</v>
      </c>
      <c r="D5" s="3715"/>
      <c r="E5" s="3747" t="s">
        <v>1671</v>
      </c>
      <c r="F5" s="3748"/>
      <c r="G5" s="3714" t="s">
        <v>1672</v>
      </c>
      <c r="H5" s="3715"/>
      <c r="I5" s="3714" t="s">
        <v>1673</v>
      </c>
      <c r="J5" s="3715"/>
      <c r="K5" s="559"/>
      <c r="L5" s="913"/>
      <c r="M5" s="914"/>
      <c r="N5" s="914"/>
      <c r="O5" s="914"/>
      <c r="P5" s="3729"/>
      <c r="Q5" s="3730"/>
      <c r="R5" s="3710"/>
      <c r="S5" s="3711"/>
      <c r="T5" s="3710"/>
      <c r="U5" s="3711"/>
      <c r="V5" s="3735"/>
      <c r="W5" s="3735"/>
      <c r="X5" s="1352"/>
      <c r="Y5" s="3710"/>
      <c r="Z5" s="3711"/>
      <c r="AA5" s="3704"/>
      <c r="AB5" s="3704"/>
      <c r="AC5" s="3704"/>
    </row>
    <row r="6" spans="1:29" ht="15.75" thickBot="1">
      <c r="A6" s="360"/>
      <c r="B6" s="361"/>
      <c r="C6" s="3758" t="s">
        <v>1674</v>
      </c>
      <c r="D6" s="3717"/>
      <c r="E6" s="3759" t="s">
        <v>1674</v>
      </c>
      <c r="F6" s="3721"/>
      <c r="G6" s="3758" t="s">
        <v>1674</v>
      </c>
      <c r="H6" s="3717"/>
      <c r="I6" s="3758" t="s">
        <v>1674</v>
      </c>
      <c r="J6" s="3717"/>
      <c r="K6" s="559" t="s">
        <v>1675</v>
      </c>
      <c r="L6" s="913"/>
      <c r="M6" s="914"/>
      <c r="N6" s="914"/>
      <c r="O6" s="914"/>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1677</v>
      </c>
      <c r="Q7" s="3736"/>
      <c r="R7" s="701" t="s">
        <v>14</v>
      </c>
      <c r="S7" s="702">
        <f t="shared" ref="S7:S15" si="0">F7</f>
        <v>0</v>
      </c>
      <c r="T7" s="701" t="s">
        <v>14</v>
      </c>
      <c r="U7" s="702">
        <f t="shared" ref="U7:U15" si="1">H7</f>
        <v>0</v>
      </c>
      <c r="V7" s="701" t="s">
        <v>14</v>
      </c>
      <c r="W7" s="702">
        <f t="shared" ref="W7:W15" si="2">J7</f>
        <v>0</v>
      </c>
      <c r="X7" s="703"/>
      <c r="Y7" s="3706" t="s">
        <v>1677</v>
      </c>
      <c r="Z7" s="3707"/>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1680</v>
      </c>
      <c r="Q8" s="3707"/>
      <c r="R8" s="701" t="s">
        <v>14</v>
      </c>
      <c r="S8" s="702">
        <f t="shared" si="0"/>
        <v>100</v>
      </c>
      <c r="T8" s="701" t="s">
        <v>14</v>
      </c>
      <c r="U8" s="702">
        <f t="shared" si="1"/>
        <v>100</v>
      </c>
      <c r="V8" s="701" t="s">
        <v>14</v>
      </c>
      <c r="W8" s="702">
        <f t="shared" si="2"/>
        <v>100</v>
      </c>
      <c r="X8" s="703"/>
      <c r="Y8" s="3706" t="s">
        <v>1680</v>
      </c>
      <c r="Z8" s="3707"/>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29" s="378" customFormat="1" ht="27">
      <c r="A10" s="374"/>
      <c r="B10" s="375" t="s">
        <v>1685</v>
      </c>
      <c r="C10" s="3425"/>
      <c r="D10" s="127">
        <v>100</v>
      </c>
      <c r="E10" s="3425"/>
      <c r="F10" s="127">
        <f>SUMIF(59:59,E10,60:60)-SUMIF(59:59,C10,60:60)+100</f>
        <v>100</v>
      </c>
      <c r="G10" s="3426"/>
      <c r="H10" s="127">
        <f>SUMIF(59:59,G10,60:60)-SUMIF(59:59,C10,60:60)+100</f>
        <v>100</v>
      </c>
      <c r="I10" s="3425"/>
      <c r="J10" s="127">
        <f>SUMIF(59:59,I10,60:60)-SUMIF(59:59,C10,60:60)+100</f>
        <v>100</v>
      </c>
      <c r="K10" s="560"/>
      <c r="L10" s="918"/>
      <c r="M10" s="919"/>
      <c r="N10" s="919"/>
      <c r="O10" s="920"/>
      <c r="P10" s="3722"/>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0" t="str">
        <f t="shared" si="6"/>
        <v>容积率</v>
      </c>
      <c r="R11" s="701" t="s">
        <v>14</v>
      </c>
      <c r="S11" s="702">
        <f t="shared" si="0"/>
        <v>100</v>
      </c>
      <c r="T11" s="701" t="s">
        <v>14</v>
      </c>
      <c r="U11" s="702">
        <f t="shared" si="1"/>
        <v>100</v>
      </c>
      <c r="V11" s="701" t="s">
        <v>14</v>
      </c>
      <c r="W11" s="702">
        <f t="shared" si="2"/>
        <v>100</v>
      </c>
      <c r="X11" s="703"/>
      <c r="Y11" s="3679"/>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2"/>
      <c r="L12" s="915"/>
      <c r="M12" s="916"/>
      <c r="N12" s="916"/>
      <c r="O12" s="917"/>
      <c r="P12" s="3722"/>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2"/>
      <c r="L13" s="923"/>
      <c r="M13" s="914"/>
      <c r="N13" s="914"/>
      <c r="O13" s="922"/>
      <c r="P13" s="3722"/>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2"/>
      <c r="L14" s="923"/>
      <c r="M14" s="914"/>
      <c r="N14" s="914"/>
      <c r="O14" s="922"/>
      <c r="P14" s="3722"/>
      <c r="Q14" s="1340">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57">
      <c r="A15" s="391" t="s">
        <v>1687</v>
      </c>
      <c r="B15" s="61" t="s">
        <v>1824</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1688</v>
      </c>
      <c r="Q15" s="1349" t="str">
        <f t="shared" si="6"/>
        <v>产业集聚程度</v>
      </c>
      <c r="R15" s="705" t="s">
        <v>14</v>
      </c>
      <c r="S15" s="706">
        <f t="shared" si="0"/>
        <v>100</v>
      </c>
      <c r="T15" s="705" t="s">
        <v>14</v>
      </c>
      <c r="U15" s="706">
        <f t="shared" si="1"/>
        <v>100</v>
      </c>
      <c r="V15" s="705" t="s">
        <v>14</v>
      </c>
      <c r="W15" s="706">
        <f t="shared" si="2"/>
        <v>100</v>
      </c>
      <c r="X15" s="1352"/>
      <c r="Y15" s="3737"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3"/>
      <c r="M16" s="914"/>
      <c r="N16" s="914"/>
      <c r="O16" s="922"/>
      <c r="P16" s="3738"/>
      <c r="Q16" s="1349"/>
      <c r="R16" s="705"/>
      <c r="S16" s="706"/>
      <c r="T16" s="705"/>
      <c r="U16" s="706"/>
      <c r="V16" s="705"/>
      <c r="W16" s="706"/>
      <c r="X16" s="1352"/>
      <c r="Y16" s="3738"/>
      <c r="Z16" s="1353"/>
      <c r="AA16" s="1350">
        <v>1</v>
      </c>
      <c r="AB16" s="1350">
        <v>1</v>
      </c>
      <c r="AC16" s="1350">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49" t="str">
        <f>B17</f>
        <v>交通便捷度</v>
      </c>
      <c r="R17" s="705" t="s">
        <v>14</v>
      </c>
      <c r="S17" s="706">
        <f>F17</f>
        <v>100</v>
      </c>
      <c r="T17" s="705" t="s">
        <v>14</v>
      </c>
      <c r="U17" s="706">
        <f>H17</f>
        <v>100</v>
      </c>
      <c r="V17" s="705" t="s">
        <v>14</v>
      </c>
      <c r="W17" s="706">
        <f>J17</f>
        <v>100</v>
      </c>
      <c r="X17" s="1352"/>
      <c r="Y17" s="373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3"/>
      <c r="M18" s="914"/>
      <c r="N18" s="914"/>
      <c r="O18" s="922"/>
      <c r="P18" s="3738"/>
      <c r="Q18" s="1349"/>
      <c r="R18" s="705"/>
      <c r="S18" s="706"/>
      <c r="T18" s="705"/>
      <c r="U18" s="706"/>
      <c r="V18" s="705"/>
      <c r="W18" s="706"/>
      <c r="X18" s="1352"/>
      <c r="Y18" s="3738"/>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49" t="str">
        <f>B19</f>
        <v>公共配套设施</v>
      </c>
      <c r="R19" s="705" t="s">
        <v>14</v>
      </c>
      <c r="S19" s="706">
        <f>F19</f>
        <v>100</v>
      </c>
      <c r="T19" s="705" t="s">
        <v>14</v>
      </c>
      <c r="U19" s="706">
        <f>H19</f>
        <v>100</v>
      </c>
      <c r="V19" s="705" t="s">
        <v>14</v>
      </c>
      <c r="W19" s="706">
        <f>J19</f>
        <v>100</v>
      </c>
      <c r="X19" s="1352"/>
      <c r="Y19" s="373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3"/>
      <c r="M20" s="914"/>
      <c r="N20" s="914"/>
      <c r="O20" s="922"/>
      <c r="P20" s="3738"/>
      <c r="Q20" s="1349"/>
      <c r="R20" s="705"/>
      <c r="S20" s="706"/>
      <c r="T20" s="705"/>
      <c r="U20" s="706"/>
      <c r="V20" s="705"/>
      <c r="W20" s="706"/>
      <c r="X20" s="1352"/>
      <c r="Y20" s="3738"/>
      <c r="Z20" s="1353"/>
      <c r="AA20" s="1350">
        <v>1</v>
      </c>
      <c r="AB20" s="1350">
        <v>1</v>
      </c>
      <c r="AC20" s="1350">
        <v>1</v>
      </c>
    </row>
    <row r="21" spans="1:29" ht="28.5">
      <c r="A21" s="379"/>
      <c r="B21" s="1131"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49" t="str">
        <f>B21</f>
        <v>基础设施水平</v>
      </c>
      <c r="R21" s="705" t="s">
        <v>14</v>
      </c>
      <c r="S21" s="706">
        <f>F21</f>
        <v>100</v>
      </c>
      <c r="T21" s="705" t="s">
        <v>14</v>
      </c>
      <c r="U21" s="706">
        <f>H21</f>
        <v>100</v>
      </c>
      <c r="V21" s="705" t="s">
        <v>14</v>
      </c>
      <c r="W21" s="706">
        <f>J21</f>
        <v>100</v>
      </c>
      <c r="X21" s="1352"/>
      <c r="Y21" s="3738"/>
      <c r="Z21" s="1353" t="str">
        <f>Q21</f>
        <v>基础设施水平</v>
      </c>
      <c r="AA21" s="1350">
        <f t="shared" ref="AA21" si="8">D21/F21</f>
        <v>1</v>
      </c>
      <c r="AB21" s="1350">
        <f t="shared" ref="AB21" si="9">D21/H21</f>
        <v>1</v>
      </c>
      <c r="AC21" s="1350">
        <f t="shared" ref="AC21" si="10">D21/J21</f>
        <v>1</v>
      </c>
    </row>
    <row r="22" spans="1:29" ht="15">
      <c r="A22" s="379"/>
      <c r="B22" s="1131"/>
      <c r="C22" s="1897"/>
      <c r="D22" s="399"/>
      <c r="E22" s="398"/>
      <c r="F22" s="400"/>
      <c r="G22" s="398"/>
      <c r="H22" s="399"/>
      <c r="I22" s="398"/>
      <c r="J22" s="399"/>
      <c r="K22" s="1130"/>
      <c r="L22" s="923"/>
      <c r="M22" s="914"/>
      <c r="N22" s="914"/>
      <c r="O22" s="922"/>
      <c r="P22" s="3738"/>
      <c r="Q22" s="1349"/>
      <c r="R22" s="705"/>
      <c r="S22" s="706"/>
      <c r="T22" s="705"/>
      <c r="U22" s="706"/>
      <c r="V22" s="705"/>
      <c r="W22" s="706"/>
      <c r="X22" s="1352"/>
      <c r="Y22" s="3738"/>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49" t="str">
        <f>B23</f>
        <v>环境质量</v>
      </c>
      <c r="R23" s="705" t="s">
        <v>14</v>
      </c>
      <c r="S23" s="706">
        <f>F23</f>
        <v>100</v>
      </c>
      <c r="T23" s="705" t="s">
        <v>14</v>
      </c>
      <c r="U23" s="706">
        <f>H23</f>
        <v>100</v>
      </c>
      <c r="V23" s="705" t="s">
        <v>14</v>
      </c>
      <c r="W23" s="706">
        <f>J23</f>
        <v>100</v>
      </c>
      <c r="X23" s="1352"/>
      <c r="Y23" s="3738"/>
      <c r="Z23" s="1353" t="str">
        <f>Q23</f>
        <v>环境质量</v>
      </c>
      <c r="AA23" s="1350">
        <f t="shared" si="3"/>
        <v>1</v>
      </c>
      <c r="AB23" s="1350">
        <f t="shared" si="4"/>
        <v>1</v>
      </c>
      <c r="AC23" s="1350">
        <f t="shared" si="5"/>
        <v>1</v>
      </c>
    </row>
    <row r="24" spans="1:29" ht="15">
      <c r="A24" s="379"/>
      <c r="B24" s="1131"/>
      <c r="C24" s="398"/>
      <c r="D24" s="399"/>
      <c r="E24" s="1894"/>
      <c r="F24" s="400"/>
      <c r="G24" s="1893"/>
      <c r="H24" s="399"/>
      <c r="I24" s="1894"/>
      <c r="J24" s="399"/>
      <c r="K24" s="564"/>
      <c r="L24" s="923"/>
      <c r="M24" s="914"/>
      <c r="N24" s="914"/>
      <c r="O24" s="922"/>
      <c r="P24" s="3738"/>
      <c r="Q24" s="1349"/>
      <c r="R24" s="705"/>
      <c r="S24" s="706"/>
      <c r="T24" s="705"/>
      <c r="U24" s="706"/>
      <c r="V24" s="705"/>
      <c r="W24" s="706"/>
      <c r="X24" s="1352"/>
      <c r="Y24" s="3738"/>
      <c r="Z24" s="1353"/>
      <c r="AA24" s="1350">
        <v>1</v>
      </c>
      <c r="AB24" s="1350">
        <v>1</v>
      </c>
      <c r="AC24" s="1350">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49">
        <f>B25</f>
        <v>111</v>
      </c>
      <c r="R25" s="705" t="s">
        <v>14</v>
      </c>
      <c r="S25" s="706">
        <f>F25</f>
        <v>100</v>
      </c>
      <c r="T25" s="705" t="s">
        <v>14</v>
      </c>
      <c r="U25" s="706">
        <f>H25</f>
        <v>100</v>
      </c>
      <c r="V25" s="705" t="s">
        <v>14</v>
      </c>
      <c r="W25" s="706">
        <f>J25</f>
        <v>100</v>
      </c>
      <c r="X25" s="1352"/>
      <c r="Y25" s="3738"/>
      <c r="Z25" s="1353">
        <f>Q25</f>
        <v>111</v>
      </c>
      <c r="AA25" s="1350">
        <f t="shared" si="3"/>
        <v>1</v>
      </c>
      <c r="AB25" s="1350">
        <f t="shared" si="4"/>
        <v>1</v>
      </c>
      <c r="AC25" s="1350">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49">
        <f t="shared" ref="Q26:Q40" si="11">B26</f>
        <v>111</v>
      </c>
      <c r="R26" s="705" t="s">
        <v>14</v>
      </c>
      <c r="S26" s="706">
        <f>F26</f>
        <v>100</v>
      </c>
      <c r="T26" s="705" t="s">
        <v>14</v>
      </c>
      <c r="U26" s="706">
        <f>H26</f>
        <v>100</v>
      </c>
      <c r="V26" s="705" t="s">
        <v>14</v>
      </c>
      <c r="W26" s="706">
        <f>J26</f>
        <v>100</v>
      </c>
      <c r="X26" s="1352"/>
      <c r="Y26" s="3738"/>
      <c r="Z26" s="1353">
        <f>Q26</f>
        <v>111</v>
      </c>
      <c r="AA26" s="1350">
        <f t="shared" si="3"/>
        <v>1</v>
      </c>
      <c r="AB26" s="1350">
        <f t="shared" si="4"/>
        <v>1</v>
      </c>
      <c r="AC26" s="1350">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0">
        <f t="shared" si="11"/>
        <v>111</v>
      </c>
      <c r="R27" s="701" t="s">
        <v>14</v>
      </c>
      <c r="S27" s="702">
        <f>F27</f>
        <v>100</v>
      </c>
      <c r="T27" s="701" t="s">
        <v>14</v>
      </c>
      <c r="U27" s="702">
        <f>H27</f>
        <v>100</v>
      </c>
      <c r="V27" s="701" t="s">
        <v>14</v>
      </c>
      <c r="W27" s="702">
        <f>J27</f>
        <v>100</v>
      </c>
      <c r="X27" s="703"/>
      <c r="Y27" s="3738"/>
      <c r="Z27" s="52">
        <f>Q27</f>
        <v>111</v>
      </c>
      <c r="AA27" s="1350">
        <f>D27/F27</f>
        <v>1</v>
      </c>
      <c r="AB27" s="1350">
        <f>D27/H27</f>
        <v>1</v>
      </c>
      <c r="AC27" s="1350">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49">
        <f t="shared" si="11"/>
        <v>111</v>
      </c>
      <c r="R28" s="705" t="s">
        <v>14</v>
      </c>
      <c r="S28" s="706">
        <f t="shared" ref="S28:S40" si="12">F28</f>
        <v>100</v>
      </c>
      <c r="T28" s="705" t="s">
        <v>14</v>
      </c>
      <c r="U28" s="706">
        <f t="shared" ref="U28:U40" si="13">H28</f>
        <v>100</v>
      </c>
      <c r="V28" s="705" t="s">
        <v>14</v>
      </c>
      <c r="W28" s="706">
        <f t="shared" ref="W28:W40" si="14">J28</f>
        <v>100</v>
      </c>
      <c r="X28" s="1352"/>
      <c r="Y28" s="3738"/>
      <c r="Z28" s="1353">
        <f t="shared" ref="Z28:Z40" si="15">Q28</f>
        <v>111</v>
      </c>
      <c r="AA28" s="1350">
        <f t="shared" si="3"/>
        <v>1</v>
      </c>
      <c r="AB28" s="1350">
        <f t="shared" si="4"/>
        <v>1</v>
      </c>
      <c r="AC28" s="1350">
        <f t="shared" si="5"/>
        <v>1</v>
      </c>
    </row>
    <row r="29" spans="1:29" ht="28.5">
      <c r="A29" s="417" t="s">
        <v>1691</v>
      </c>
      <c r="B29" s="63" t="s">
        <v>1814</v>
      </c>
      <c r="C29" s="1961"/>
      <c r="D29" s="418">
        <v>100</v>
      </c>
      <c r="E29" s="1961"/>
      <c r="F29" s="412">
        <f>SUMIF(88:88,E29,89:89)-SUMIF(88:88,C29,89:89)+100</f>
        <v>100</v>
      </c>
      <c r="G29" s="1961"/>
      <c r="H29" s="386">
        <f>SUMIF(88:88,G29,89:89)-SUMIF(88:88,C29,89:89)+100</f>
        <v>100</v>
      </c>
      <c r="I29" s="1961"/>
      <c r="J29" s="418">
        <f>SUMIF(88:88,I29,89:89)-SUMIF(88:88,C29,89:89)+100</f>
        <v>100</v>
      </c>
      <c r="K29" s="561"/>
      <c r="L29" s="923"/>
      <c r="M29" s="914"/>
      <c r="N29" s="914"/>
      <c r="O29" s="922"/>
      <c r="P29" s="3739" t="s">
        <v>1693</v>
      </c>
      <c r="Q29" s="1349" t="str">
        <f t="shared" si="11"/>
        <v>建筑类型</v>
      </c>
      <c r="R29" s="705" t="s">
        <v>14</v>
      </c>
      <c r="S29" s="706">
        <f t="shared" si="12"/>
        <v>100</v>
      </c>
      <c r="T29" s="705" t="s">
        <v>14</v>
      </c>
      <c r="U29" s="706">
        <f t="shared" si="13"/>
        <v>100</v>
      </c>
      <c r="V29" s="705" t="s">
        <v>14</v>
      </c>
      <c r="W29" s="706">
        <f t="shared" si="14"/>
        <v>100</v>
      </c>
      <c r="X29" s="1352"/>
      <c r="Y29" s="3740"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0"/>
      <c r="Q30" s="707" t="str">
        <f t="shared" si="11"/>
        <v>项目建筑规模</v>
      </c>
      <c r="R30" s="708" t="s">
        <v>14</v>
      </c>
      <c r="S30" s="709" t="e">
        <f t="shared" si="12"/>
        <v>#N/A</v>
      </c>
      <c r="T30" s="708" t="s">
        <v>14</v>
      </c>
      <c r="U30" s="709" t="e">
        <f t="shared" si="13"/>
        <v>#N/A</v>
      </c>
      <c r="V30" s="708" t="s">
        <v>14</v>
      </c>
      <c r="W30" s="709" t="e">
        <f t="shared" si="14"/>
        <v>#N/A</v>
      </c>
      <c r="X30" s="710"/>
      <c r="Y30" s="3740"/>
      <c r="Z30" s="711"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0"/>
      <c r="Q31" s="1349" t="str">
        <f t="shared" si="11"/>
        <v>建筑结构</v>
      </c>
      <c r="R31" s="705" t="s">
        <v>14</v>
      </c>
      <c r="S31" s="706">
        <f t="shared" si="12"/>
        <v>100</v>
      </c>
      <c r="T31" s="705" t="s">
        <v>14</v>
      </c>
      <c r="U31" s="706">
        <f t="shared" si="13"/>
        <v>100</v>
      </c>
      <c r="V31" s="705" t="s">
        <v>14</v>
      </c>
      <c r="W31" s="706">
        <f t="shared" si="14"/>
        <v>100</v>
      </c>
      <c r="X31" s="1352"/>
      <c r="Y31" s="3740"/>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0"/>
      <c r="Q32" s="1349" t="str">
        <f t="shared" si="11"/>
        <v>公共部分装修</v>
      </c>
      <c r="R32" s="705" t="s">
        <v>14</v>
      </c>
      <c r="S32" s="706">
        <f t="shared" si="12"/>
        <v>100</v>
      </c>
      <c r="T32" s="705" t="s">
        <v>14</v>
      </c>
      <c r="U32" s="706">
        <f t="shared" si="13"/>
        <v>100</v>
      </c>
      <c r="V32" s="705" t="s">
        <v>14</v>
      </c>
      <c r="W32" s="706">
        <f t="shared" si="14"/>
        <v>100</v>
      </c>
      <c r="X32" s="1352"/>
      <c r="Y32" s="3740"/>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0"/>
      <c r="Q33" s="1349" t="str">
        <f t="shared" si="11"/>
        <v>成新度</v>
      </c>
      <c r="R33" s="705" t="s">
        <v>14</v>
      </c>
      <c r="S33" s="706" t="e">
        <f t="shared" si="12"/>
        <v>#N/A</v>
      </c>
      <c r="T33" s="705" t="s">
        <v>14</v>
      </c>
      <c r="U33" s="706" t="e">
        <f t="shared" si="13"/>
        <v>#N/A</v>
      </c>
      <c r="V33" s="705" t="s">
        <v>14</v>
      </c>
      <c r="W33" s="706" t="e">
        <f t="shared" si="14"/>
        <v>#N/A</v>
      </c>
      <c r="X33" s="1352"/>
      <c r="Y33" s="3740"/>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0"/>
      <c r="Q34" s="1340"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0" t="s">
        <v>1693</v>
      </c>
      <c r="Q35" s="1349" t="str">
        <f t="shared" si="11"/>
        <v>市政基础设施</v>
      </c>
      <c r="R35" s="705" t="s">
        <v>14</v>
      </c>
      <c r="S35" s="706">
        <f t="shared" si="12"/>
        <v>100</v>
      </c>
      <c r="T35" s="705" t="s">
        <v>14</v>
      </c>
      <c r="U35" s="706">
        <f t="shared" si="13"/>
        <v>100</v>
      </c>
      <c r="V35" s="705" t="s">
        <v>14</v>
      </c>
      <c r="W35" s="706">
        <f t="shared" si="14"/>
        <v>100</v>
      </c>
      <c r="X35" s="1352"/>
      <c r="Y35" s="3740"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0"/>
      <c r="Q36" s="1349" t="str">
        <f t="shared" si="11"/>
        <v>内部装修</v>
      </c>
      <c r="R36" s="705" t="s">
        <v>14</v>
      </c>
      <c r="S36" s="706">
        <f t="shared" si="12"/>
        <v>100</v>
      </c>
      <c r="T36" s="705" t="s">
        <v>14</v>
      </c>
      <c r="U36" s="706">
        <f t="shared" si="13"/>
        <v>100</v>
      </c>
      <c r="V36" s="705" t="s">
        <v>14</v>
      </c>
      <c r="W36" s="706">
        <f t="shared" si="14"/>
        <v>100</v>
      </c>
      <c r="X36" s="1352"/>
      <c r="Y36" s="3740"/>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0"/>
      <c r="Q37" s="1349" t="str">
        <f t="shared" si="11"/>
        <v>内部装修状况</v>
      </c>
      <c r="R37" s="705" t="s">
        <v>14</v>
      </c>
      <c r="S37" s="706">
        <f t="shared" si="12"/>
        <v>100</v>
      </c>
      <c r="T37" s="705" t="s">
        <v>14</v>
      </c>
      <c r="U37" s="706">
        <f t="shared" si="13"/>
        <v>100</v>
      </c>
      <c r="V37" s="705" t="s">
        <v>14</v>
      </c>
      <c r="W37" s="706">
        <f t="shared" si="14"/>
        <v>100</v>
      </c>
      <c r="X37" s="1352"/>
      <c r="Y37" s="3740"/>
      <c r="Z37" s="1353" t="str">
        <f t="shared" si="15"/>
        <v>内部装修状况</v>
      </c>
      <c r="AA37" s="1350">
        <f t="shared" si="3"/>
        <v>1</v>
      </c>
      <c r="AB37" s="1350">
        <f t="shared" si="4"/>
        <v>1</v>
      </c>
      <c r="AC37" s="1350">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0">
        <f t="shared" si="3"/>
        <v>1</v>
      </c>
      <c r="AB38" s="1350">
        <f t="shared" si="4"/>
        <v>1</v>
      </c>
      <c r="AC38" s="1350">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49">
        <f t="shared" si="11"/>
        <v>111</v>
      </c>
      <c r="R39" s="705" t="s">
        <v>14</v>
      </c>
      <c r="S39" s="706">
        <f t="shared" si="12"/>
        <v>100</v>
      </c>
      <c r="T39" s="705" t="s">
        <v>14</v>
      </c>
      <c r="U39" s="706">
        <f t="shared" si="13"/>
        <v>100</v>
      </c>
      <c r="V39" s="705" t="s">
        <v>14</v>
      </c>
      <c r="W39" s="706">
        <f t="shared" si="14"/>
        <v>100</v>
      </c>
      <c r="X39" s="1352"/>
      <c r="Y39" s="3740"/>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5"/>
      <c r="Q40" s="1349">
        <f t="shared" si="11"/>
        <v>111</v>
      </c>
      <c r="R40" s="705" t="s">
        <v>14</v>
      </c>
      <c r="S40" s="706">
        <f t="shared" si="12"/>
        <v>100</v>
      </c>
      <c r="T40" s="705" t="s">
        <v>14</v>
      </c>
      <c r="U40" s="706">
        <f t="shared" si="13"/>
        <v>100</v>
      </c>
      <c r="V40" s="705" t="s">
        <v>14</v>
      </c>
      <c r="W40" s="706">
        <f t="shared" si="14"/>
        <v>100</v>
      </c>
      <c r="X40" s="1352"/>
      <c r="Y40" s="3765"/>
      <c r="Z40" s="1353">
        <f t="shared" si="15"/>
        <v>111</v>
      </c>
      <c r="AA40" s="1350">
        <f t="shared" si="3"/>
        <v>1</v>
      </c>
      <c r="AB40" s="1350">
        <f t="shared" si="4"/>
        <v>1</v>
      </c>
      <c r="AC40" s="1350">
        <f t="shared" si="5"/>
        <v>1</v>
      </c>
    </row>
    <row r="41" spans="1:29" ht="15">
      <c r="A41" s="430" t="s">
        <v>1705</v>
      </c>
      <c r="B41" s="431"/>
      <c r="C41" s="1154" t="s">
        <v>0</v>
      </c>
      <c r="D41" s="1155"/>
      <c r="E41" s="1156"/>
      <c r="F41" s="1157"/>
      <c r="G41" s="1158"/>
      <c r="H41" s="1159"/>
      <c r="I41" s="1156"/>
      <c r="J41" s="1159"/>
      <c r="K41" s="714"/>
      <c r="L41" s="926"/>
      <c r="M41" s="927"/>
      <c r="N41" s="914"/>
      <c r="O41" s="927"/>
      <c r="P41" s="3722" t="str">
        <f>A41</f>
        <v>成交单价（元/平方米）</v>
      </c>
      <c r="Q41" s="3722"/>
      <c r="R41" s="3761">
        <f>E41</f>
        <v>0</v>
      </c>
      <c r="S41" s="3761"/>
      <c r="T41" s="3761">
        <f>G41</f>
        <v>0</v>
      </c>
      <c r="U41" s="3761"/>
      <c r="V41" s="3761">
        <f>I41</f>
        <v>0</v>
      </c>
      <c r="W41" s="3761"/>
      <c r="X41" s="690"/>
      <c r="Y41" s="712"/>
      <c r="Z41" s="690"/>
      <c r="AA41" s="690"/>
      <c r="AB41" s="690"/>
      <c r="AC41" s="690"/>
    </row>
    <row r="42" spans="1:29" ht="15.75" thickBot="1">
      <c r="A42" s="437" t="s">
        <v>1790</v>
      </c>
      <c r="B42" s="438"/>
      <c r="C42" s="1160" t="e">
        <f>R43</f>
        <v>#DIV/0!</v>
      </c>
      <c r="D42" s="2310" t="s">
        <v>2134</v>
      </c>
      <c r="E42" s="1161" t="e">
        <f>R42</f>
        <v>#DIV/0!</v>
      </c>
      <c r="F42" s="2311"/>
      <c r="G42" s="1160" t="e">
        <f>T42</f>
        <v>#DIV/0!</v>
      </c>
      <c r="H42" s="2311"/>
      <c r="I42" s="1161" t="e">
        <f>V42</f>
        <v>#DIV/0!</v>
      </c>
      <c r="J42" s="2311"/>
      <c r="K42" s="2313">
        <f>F42+H42+J42</f>
        <v>0</v>
      </c>
      <c r="L42" s="926"/>
      <c r="M42" s="927"/>
      <c r="N42" s="914"/>
      <c r="O42" s="927"/>
      <c r="P42" s="3722" t="str">
        <f>A42</f>
        <v>比较价值（元/平方米）</v>
      </c>
      <c r="Q42" s="3722"/>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42" t="str">
        <f>A43</f>
        <v>估价对象XX用房的比较价值（楼面单价，元/平方米）</v>
      </c>
      <c r="Q43" s="3743"/>
      <c r="R43" s="3760" t="e">
        <f>IF(F1="售价",ROUND(IF(D42="简单平均",AVERAGE(R42:V42),R42*F42+T42*H42+V42*J42),0),ROUND(IF(D42="简单平均",AVERAGE(R42:V42),R42*F42+T42*H42+V42*J42),1))</f>
        <v>#DIV/0!</v>
      </c>
      <c r="S43" s="3760"/>
      <c r="T43" s="3760"/>
      <c r="U43" s="3760"/>
      <c r="V43" s="3760"/>
      <c r="W43" s="3760"/>
      <c r="X43" s="690"/>
      <c r="Y43" s="690"/>
      <c r="Z43" s="690"/>
      <c r="AA43" s="690"/>
      <c r="AB43" s="690"/>
      <c r="AC43" s="690"/>
    </row>
    <row r="44" spans="1:29">
      <c r="A44" s="2716"/>
      <c r="B44" s="2716"/>
      <c r="C44" s="2716"/>
      <c r="D44" s="2716"/>
      <c r="E44" s="2716"/>
      <c r="F44" s="2716"/>
      <c r="G44" s="2720"/>
      <c r="H44" s="2716"/>
      <c r="I44" s="2716"/>
      <c r="J44" s="2716"/>
      <c r="K44" s="2721"/>
      <c r="L44" s="889"/>
      <c r="M44" s="927"/>
      <c r="N44" s="927"/>
      <c r="O44" s="927"/>
    </row>
    <row r="45" spans="1:29">
      <c r="A45" s="2716"/>
      <c r="B45" s="2716"/>
      <c r="C45" s="2716"/>
      <c r="D45" s="2716"/>
      <c r="E45" s="2716"/>
      <c r="F45" s="2716"/>
      <c r="G45" s="2716"/>
      <c r="H45" s="2716"/>
      <c r="I45" s="2716"/>
      <c r="J45" s="2716"/>
      <c r="K45" s="2721"/>
      <c r="L45" s="889"/>
      <c r="M45" s="927"/>
      <c r="N45" s="927"/>
      <c r="O45" s="927"/>
    </row>
    <row r="46" spans="1:29" ht="13.5" customHeight="1">
      <c r="A46" s="2716"/>
      <c r="B46" s="2716"/>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889"/>
      <c r="M46" s="927"/>
      <c r="N46" s="927"/>
      <c r="O46" s="927"/>
    </row>
    <row r="47" spans="1:29" ht="13.5" customHeight="1">
      <c r="A47" s="2716"/>
      <c r="B47" s="2716"/>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889"/>
      <c r="M47" s="927"/>
      <c r="N47" s="927"/>
      <c r="O47" s="927"/>
    </row>
    <row r="48" spans="1:29" s="451" customFormat="1" ht="13.5" customHeight="1">
      <c r="A48" s="2719"/>
      <c r="B48" s="2719"/>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930"/>
      <c r="M48" s="928"/>
      <c r="N48" s="928"/>
      <c r="O48" s="928"/>
    </row>
    <row r="49" spans="1:17" s="451" customFormat="1">
      <c r="A49" s="2719"/>
      <c r="B49" s="2722"/>
      <c r="C49" s="2723"/>
      <c r="D49" s="2719"/>
      <c r="E49" s="2719"/>
      <c r="F49" s="2719"/>
      <c r="G49" s="2719"/>
      <c r="H49" s="2719"/>
      <c r="I49" s="2719"/>
      <c r="J49" s="2719"/>
      <c r="K49" s="2724"/>
      <c r="L49" s="930"/>
      <c r="M49" s="928"/>
      <c r="N49" s="928"/>
      <c r="O49" s="928"/>
    </row>
    <row r="50" spans="1:17">
      <c r="A50" s="2716"/>
      <c r="B50" s="2722"/>
      <c r="C50" s="2723"/>
      <c r="D50" s="2716"/>
      <c r="E50" s="2716"/>
      <c r="F50" s="2716"/>
      <c r="G50" s="2716"/>
      <c r="H50" s="2716"/>
      <c r="I50" s="2716"/>
      <c r="J50" s="2716"/>
      <c r="K50" s="2721"/>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1"/>
      <c r="O54" s="2762"/>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2"/>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2"/>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3331</v>
      </c>
      <c r="C1" s="1221" t="s">
        <v>1659</v>
      </c>
      <c r="D1" s="1222"/>
      <c r="E1" s="3424"/>
      <c r="F1" s="1876"/>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10"/>
      <c r="L2" s="2725"/>
      <c r="M2" s="2726"/>
      <c r="N2" s="2726"/>
      <c r="O2" s="2726"/>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25"/>
      <c r="M3" s="2726" t="e">
        <f ca="1">IF(C2="——",IF(B37="元/平方米",ROUND(C39*D3/10000,0),ROUND(F3*C39/10000,0)),IF(B37="元/平方米",ROUND(C39*D3/10000,0),ROUND(F3*C39/10000,0))-D2)</f>
        <v>#DIV/0!</v>
      </c>
      <c r="N3" s="2726"/>
      <c r="O3" s="2726"/>
      <c r="P3" s="1165"/>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29" ht="15">
      <c r="A5" s="358"/>
      <c r="B5" s="359"/>
      <c r="C5" s="3714" t="s">
        <v>1670</v>
      </c>
      <c r="D5" s="3715"/>
      <c r="E5" s="3747" t="s">
        <v>1671</v>
      </c>
      <c r="F5" s="3748"/>
      <c r="G5" s="3714" t="s">
        <v>1672</v>
      </c>
      <c r="H5" s="3715"/>
      <c r="I5" s="3714" t="s">
        <v>1673</v>
      </c>
      <c r="J5" s="3715"/>
      <c r="K5" s="559"/>
      <c r="L5" s="2706"/>
      <c r="M5" s="2707"/>
      <c r="N5" s="2707"/>
      <c r="O5" s="2707"/>
      <c r="P5" s="3729"/>
      <c r="Q5" s="3730"/>
      <c r="R5" s="3710"/>
      <c r="S5" s="3711"/>
      <c r="T5" s="3710"/>
      <c r="U5" s="3711"/>
      <c r="V5" s="3735"/>
      <c r="W5" s="3735"/>
      <c r="X5" s="1352"/>
      <c r="Y5" s="3710"/>
      <c r="Z5" s="3711"/>
      <c r="AA5" s="3704"/>
      <c r="AB5" s="3704"/>
      <c r="AC5" s="3704"/>
    </row>
    <row r="6" spans="1:29" ht="15.75" thickBot="1">
      <c r="A6" s="360"/>
      <c r="B6" s="361"/>
      <c r="C6" s="3758" t="s">
        <v>1674</v>
      </c>
      <c r="D6" s="3717"/>
      <c r="E6" s="3759" t="s">
        <v>1674</v>
      </c>
      <c r="F6" s="3721"/>
      <c r="G6" s="3758" t="s">
        <v>1674</v>
      </c>
      <c r="H6" s="3717"/>
      <c r="I6" s="3758" t="s">
        <v>1674</v>
      </c>
      <c r="J6" s="3717"/>
      <c r="K6" s="559" t="s">
        <v>1675</v>
      </c>
      <c r="L6" s="2706"/>
      <c r="M6" s="2707"/>
      <c r="N6" s="2707"/>
      <c r="O6" s="2707"/>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08"/>
      <c r="M7" s="2709"/>
      <c r="N7" s="2709"/>
      <c r="O7" s="2709"/>
      <c r="P7" s="3706" t="s">
        <v>1677</v>
      </c>
      <c r="Q7" s="3736"/>
      <c r="R7" s="701" t="s">
        <v>14</v>
      </c>
      <c r="S7" s="702">
        <f t="shared" ref="S7:S14" si="0">F7</f>
        <v>0</v>
      </c>
      <c r="T7" s="701" t="s">
        <v>14</v>
      </c>
      <c r="U7" s="702">
        <f t="shared" ref="U7:U14" si="1">H7</f>
        <v>0</v>
      </c>
      <c r="V7" s="701" t="s">
        <v>14</v>
      </c>
      <c r="W7" s="702">
        <f t="shared" ref="W7:W14" si="2">J7</f>
        <v>0</v>
      </c>
      <c r="X7" s="703"/>
      <c r="Y7" s="3706" t="s">
        <v>1677</v>
      </c>
      <c r="Z7" s="3707"/>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08"/>
      <c r="M9" s="2709"/>
      <c r="N9" s="2709"/>
      <c r="O9" s="2709"/>
      <c r="P9" s="3722" t="s">
        <v>1683</v>
      </c>
      <c r="Q9" s="1340" t="str">
        <f t="shared" ref="Q9:Q14" si="6">B9</f>
        <v>用途</v>
      </c>
      <c r="R9" s="701" t="s">
        <v>14</v>
      </c>
      <c r="S9" s="702">
        <f t="shared" si="0"/>
        <v>100</v>
      </c>
      <c r="T9" s="701" t="s">
        <v>14</v>
      </c>
      <c r="U9" s="702">
        <f t="shared" si="1"/>
        <v>100</v>
      </c>
      <c r="V9" s="701" t="s">
        <v>14</v>
      </c>
      <c r="W9" s="702">
        <f t="shared" si="2"/>
        <v>100</v>
      </c>
      <c r="X9" s="703"/>
      <c r="Y9" s="3679" t="s">
        <v>1684</v>
      </c>
      <c r="Z9" s="52" t="str">
        <f t="shared" ref="Z9:Z14" si="7">Q9</f>
        <v>用途</v>
      </c>
      <c r="AA9" s="704">
        <f t="shared" si="3"/>
        <v>1</v>
      </c>
      <c r="AB9" s="704">
        <f t="shared" si="4"/>
        <v>1</v>
      </c>
      <c r="AC9" s="704">
        <f t="shared" si="5"/>
        <v>1</v>
      </c>
    </row>
    <row r="10" spans="1:29" s="378" customFormat="1" ht="27">
      <c r="A10" s="589"/>
      <c r="B10" s="590" t="s">
        <v>1685</v>
      </c>
      <c r="C10" s="3425"/>
      <c r="D10" s="127">
        <v>100</v>
      </c>
      <c r="E10" s="3425"/>
      <c r="F10" s="127">
        <f>SUMIF(55:55,E10,56:56)-SUMIF(55:55,C10,56:56)+100</f>
        <v>100</v>
      </c>
      <c r="G10" s="3426"/>
      <c r="H10" s="127">
        <f>SUMIF(55:55,G10,56:56)-SUMIF(55:55,C10,56:56)+100</f>
        <v>100</v>
      </c>
      <c r="I10" s="3425"/>
      <c r="J10" s="127">
        <f>SUMIF(55:55,I10,56:56)-SUMIF(55:55,C10,56:56)+100</f>
        <v>100</v>
      </c>
      <c r="K10" s="560"/>
      <c r="L10" s="2710"/>
      <c r="M10" s="2711"/>
      <c r="N10" s="2711"/>
      <c r="O10" s="2711"/>
      <c r="P10" s="3722"/>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2"/>
      <c r="M11" s="2707"/>
      <c r="N11" s="2707"/>
      <c r="O11" s="2707"/>
      <c r="P11" s="3722"/>
      <c r="Q11" s="1340">
        <f t="shared" si="6"/>
        <v>111</v>
      </c>
      <c r="R11" s="701" t="s">
        <v>14</v>
      </c>
      <c r="S11" s="702">
        <f t="shared" si="0"/>
        <v>100</v>
      </c>
      <c r="T11" s="701" t="s">
        <v>14</v>
      </c>
      <c r="U11" s="702">
        <f t="shared" si="1"/>
        <v>100</v>
      </c>
      <c r="V11" s="701" t="s">
        <v>14</v>
      </c>
      <c r="W11" s="702">
        <f t="shared" si="2"/>
        <v>100</v>
      </c>
      <c r="X11" s="703"/>
      <c r="Y11" s="36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8"/>
      <c r="M12" s="2709"/>
      <c r="N12" s="2709"/>
      <c r="O12" s="2709"/>
      <c r="P12" s="3722"/>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3"/>
      <c r="M13" s="2707"/>
      <c r="N13" s="2707"/>
      <c r="O13" s="2707"/>
      <c r="P13" s="3722"/>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
      <c r="A14" s="355" t="s">
        <v>1687</v>
      </c>
      <c r="B14" s="577" t="s">
        <v>1830</v>
      </c>
      <c r="C14" s="1965" t="str">
        <f>IF(B1="工业",估价对象房地状况!G4,估价对象房地状况!C6)</f>
        <v>较差</v>
      </c>
      <c r="D14" s="392">
        <v>100</v>
      </c>
      <c r="E14" s="393"/>
      <c r="F14" s="394">
        <f>SUMIF(63:63,E15,64:64)-SUMIF(63:63,C15,64:64)+100</f>
        <v>100</v>
      </c>
      <c r="G14" s="395"/>
      <c r="H14" s="392">
        <f>SUMIF(63:63,G15,64:64)-SUMIF(63:63,C15,64:64)+100</f>
        <v>100</v>
      </c>
      <c r="I14" s="393"/>
      <c r="J14" s="392">
        <f>SUMIF(63:63,I15,64:64)-SUMIF(63:63,C15,64:64)+100</f>
        <v>100</v>
      </c>
      <c r="K14" s="563"/>
      <c r="L14" s="2713"/>
      <c r="M14" s="2707"/>
      <c r="N14" s="2707"/>
      <c r="O14" s="2707"/>
      <c r="P14" s="3737" t="s">
        <v>1688</v>
      </c>
      <c r="Q14" s="1349" t="str">
        <f t="shared" si="6"/>
        <v>交通便捷度</v>
      </c>
      <c r="R14" s="705" t="s">
        <v>14</v>
      </c>
      <c r="S14" s="706">
        <f t="shared" si="0"/>
        <v>100</v>
      </c>
      <c r="T14" s="705" t="s">
        <v>14</v>
      </c>
      <c r="U14" s="706">
        <f t="shared" si="1"/>
        <v>100</v>
      </c>
      <c r="V14" s="705" t="s">
        <v>14</v>
      </c>
      <c r="W14" s="706">
        <f t="shared" si="2"/>
        <v>100</v>
      </c>
      <c r="X14" s="1352"/>
      <c r="Y14" s="3737" t="s">
        <v>1688</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3"/>
      <c r="M15" s="2707"/>
      <c r="N15" s="2707"/>
      <c r="O15" s="2707"/>
      <c r="P15" s="3738"/>
      <c r="Q15" s="1349"/>
      <c r="R15" s="705"/>
      <c r="S15" s="706"/>
      <c r="T15" s="705"/>
      <c r="U15" s="706"/>
      <c r="V15" s="705"/>
      <c r="W15" s="706"/>
      <c r="X15" s="1352"/>
      <c r="Y15" s="3738"/>
      <c r="Z15" s="1353"/>
      <c r="AA15" s="1350">
        <v>1</v>
      </c>
      <c r="AB15" s="1350">
        <v>1</v>
      </c>
      <c r="AC15" s="1350">
        <v>1</v>
      </c>
    </row>
    <row r="16" spans="1:29" ht="15">
      <c r="A16" s="358"/>
      <c r="B16" s="579" t="s">
        <v>1809</v>
      </c>
      <c r="C16" s="1896" t="str">
        <f>IF(B1="工业",估价对象房地状况!G5,估价对象房地状况!C7)</f>
        <v>较差</v>
      </c>
      <c r="D16" s="406">
        <v>100</v>
      </c>
      <c r="E16" s="408"/>
      <c r="F16" s="409">
        <f>SUMIF(65:65,E17,66:66)-SUMIF(65:65,C17,66:66)+100</f>
        <v>100</v>
      </c>
      <c r="G16" s="410"/>
      <c r="H16" s="406">
        <f>SUMIF(65:65,G17,66:66)-SUMIF(65:65,C17,66:66)+100</f>
        <v>100</v>
      </c>
      <c r="I16" s="408"/>
      <c r="J16" s="406">
        <f>SUMIF(65:65,I17,66:66)-SUMIF(65:65,C17,66:66)+100</f>
        <v>100</v>
      </c>
      <c r="K16" s="563"/>
      <c r="L16" s="2713"/>
      <c r="M16" s="2707"/>
      <c r="N16" s="2707"/>
      <c r="O16" s="2707"/>
      <c r="P16" s="3738"/>
      <c r="Q16" s="1349" t="str">
        <f>B16</f>
        <v>公共配套设施</v>
      </c>
      <c r="R16" s="705" t="s">
        <v>14</v>
      </c>
      <c r="S16" s="706">
        <f>F16</f>
        <v>100</v>
      </c>
      <c r="T16" s="705" t="s">
        <v>14</v>
      </c>
      <c r="U16" s="706">
        <f>H16</f>
        <v>100</v>
      </c>
      <c r="V16" s="705" t="s">
        <v>14</v>
      </c>
      <c r="W16" s="706">
        <f>J16</f>
        <v>100</v>
      </c>
      <c r="X16" s="1352"/>
      <c r="Y16" s="3738"/>
      <c r="Z16" s="1353" t="str">
        <f>Q16</f>
        <v>公共配套设施</v>
      </c>
      <c r="AA16" s="1350">
        <f t="shared" si="3"/>
        <v>1</v>
      </c>
      <c r="AB16" s="1350">
        <f t="shared" si="4"/>
        <v>1</v>
      </c>
      <c r="AC16" s="1350">
        <f t="shared" si="5"/>
        <v>1</v>
      </c>
    </row>
    <row r="17" spans="1:29" ht="15">
      <c r="A17" s="358"/>
      <c r="B17" s="580"/>
      <c r="C17" s="1897"/>
      <c r="D17" s="399"/>
      <c r="E17" s="398"/>
      <c r="F17" s="400"/>
      <c r="G17" s="398"/>
      <c r="H17" s="399"/>
      <c r="I17" s="398"/>
      <c r="J17" s="399"/>
      <c r="K17" s="564"/>
      <c r="L17" s="2713"/>
      <c r="M17" s="2707"/>
      <c r="N17" s="2707"/>
      <c r="O17" s="2707"/>
      <c r="P17" s="3738"/>
      <c r="Q17" s="1349"/>
      <c r="R17" s="705"/>
      <c r="S17" s="706"/>
      <c r="T17" s="705"/>
      <c r="U17" s="706"/>
      <c r="V17" s="705"/>
      <c r="W17" s="706"/>
      <c r="X17" s="1352"/>
      <c r="Y17" s="3738"/>
      <c r="Z17" s="1353"/>
      <c r="AA17" s="1350">
        <v>1</v>
      </c>
      <c r="AB17" s="1350">
        <v>1</v>
      </c>
      <c r="AC17" s="1350">
        <v>1</v>
      </c>
    </row>
    <row r="18" spans="1:29" ht="15">
      <c r="A18" s="358"/>
      <c r="B18" s="581" t="s">
        <v>1810</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3"/>
      <c r="M18" s="2707"/>
      <c r="N18" s="2707"/>
      <c r="O18" s="2707"/>
      <c r="P18" s="3738"/>
      <c r="Q18" s="1349" t="str">
        <f>B18</f>
        <v>基础设施水平</v>
      </c>
      <c r="R18" s="705" t="s">
        <v>14</v>
      </c>
      <c r="S18" s="706">
        <f>F18</f>
        <v>100</v>
      </c>
      <c r="T18" s="705" t="s">
        <v>14</v>
      </c>
      <c r="U18" s="706">
        <f>H18</f>
        <v>100</v>
      </c>
      <c r="V18" s="705" t="s">
        <v>14</v>
      </c>
      <c r="W18" s="706">
        <f>J18</f>
        <v>100</v>
      </c>
      <c r="X18" s="1352"/>
      <c r="Y18" s="3738"/>
      <c r="Z18" s="1353" t="str">
        <f>Q18</f>
        <v>基础设施水平</v>
      </c>
      <c r="AA18" s="1350">
        <f t="shared" ref="AA18" si="8">D18/F18</f>
        <v>1</v>
      </c>
      <c r="AB18" s="1350">
        <f t="shared" ref="AB18" si="9">D18/H18</f>
        <v>1</v>
      </c>
      <c r="AC18" s="1350">
        <f t="shared" ref="AC18" si="10">D18/J18</f>
        <v>1</v>
      </c>
    </row>
    <row r="19" spans="1:29" ht="15">
      <c r="A19" s="358"/>
      <c r="B19" s="581"/>
      <c r="C19" s="1897"/>
      <c r="D19" s="401"/>
      <c r="E19" s="1897"/>
      <c r="F19" s="404"/>
      <c r="G19" s="1897"/>
      <c r="H19" s="399"/>
      <c r="I19" s="398"/>
      <c r="J19" s="399"/>
      <c r="K19" s="1130"/>
      <c r="L19" s="2713"/>
      <c r="M19" s="2707"/>
      <c r="N19" s="2707"/>
      <c r="O19" s="2707"/>
      <c r="P19" s="3738"/>
      <c r="Q19" s="1349"/>
      <c r="R19" s="705"/>
      <c r="S19" s="706"/>
      <c r="T19" s="705"/>
      <c r="U19" s="706"/>
      <c r="V19" s="705"/>
      <c r="W19" s="706"/>
      <c r="X19" s="1352"/>
      <c r="Y19" s="3738"/>
      <c r="Z19" s="1353"/>
      <c r="AA19" s="1350">
        <v>1</v>
      </c>
      <c r="AB19" s="1350">
        <v>1</v>
      </c>
      <c r="AC19" s="1350">
        <v>1</v>
      </c>
    </row>
    <row r="20" spans="1:29" ht="15">
      <c r="A20" s="358"/>
      <c r="B20" s="579" t="s">
        <v>1831</v>
      </c>
      <c r="C20" s="1896"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3"/>
      <c r="M20" s="2707"/>
      <c r="N20" s="2707"/>
      <c r="O20" s="2707"/>
      <c r="P20" s="3738"/>
      <c r="Q20" s="1349" t="str">
        <f>B20</f>
        <v>自然及人文环境</v>
      </c>
      <c r="R20" s="705" t="s">
        <v>14</v>
      </c>
      <c r="S20" s="706">
        <f>F20</f>
        <v>100</v>
      </c>
      <c r="T20" s="705" t="s">
        <v>14</v>
      </c>
      <c r="U20" s="706">
        <f>H20</f>
        <v>100</v>
      </c>
      <c r="V20" s="705" t="s">
        <v>14</v>
      </c>
      <c r="W20" s="706">
        <f>J20</f>
        <v>100</v>
      </c>
      <c r="X20" s="1352"/>
      <c r="Y20" s="3738"/>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3"/>
      <c r="M21" s="2707"/>
      <c r="N21" s="2707"/>
      <c r="O21" s="2707"/>
      <c r="P21" s="3738"/>
      <c r="Q21" s="1349"/>
      <c r="R21" s="705"/>
      <c r="S21" s="706"/>
      <c r="T21" s="705"/>
      <c r="U21" s="706"/>
      <c r="V21" s="705"/>
      <c r="W21" s="706"/>
      <c r="X21" s="1352"/>
      <c r="Y21" s="3738"/>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3"/>
      <c r="M22" s="2707"/>
      <c r="N22" s="2707"/>
      <c r="O22" s="2707"/>
      <c r="P22" s="3738"/>
      <c r="Q22" s="1349" t="str">
        <f>B22</f>
        <v>楼层</v>
      </c>
      <c r="R22" s="705" t="s">
        <v>14</v>
      </c>
      <c r="S22" s="706">
        <f>F22</f>
        <v>100</v>
      </c>
      <c r="T22" s="705" t="s">
        <v>14</v>
      </c>
      <c r="U22" s="706">
        <f>H22</f>
        <v>100</v>
      </c>
      <c r="V22" s="705" t="s">
        <v>14</v>
      </c>
      <c r="W22" s="706">
        <f>J22</f>
        <v>100</v>
      </c>
      <c r="X22" s="1352"/>
      <c r="Y22" s="3738"/>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3"/>
      <c r="M23" s="2707"/>
      <c r="N23" s="2707"/>
      <c r="O23" s="2707"/>
      <c r="P23" s="3738"/>
      <c r="Q23" s="1349">
        <f>B23</f>
        <v>111</v>
      </c>
      <c r="R23" s="705" t="s">
        <v>14</v>
      </c>
      <c r="S23" s="706">
        <f>F23</f>
        <v>100</v>
      </c>
      <c r="T23" s="705" t="s">
        <v>14</v>
      </c>
      <c r="U23" s="706">
        <f>H23</f>
        <v>100</v>
      </c>
      <c r="V23" s="705" t="s">
        <v>14</v>
      </c>
      <c r="W23" s="706">
        <f>J23</f>
        <v>100</v>
      </c>
      <c r="X23" s="1352"/>
      <c r="Y23" s="3738"/>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3"/>
      <c r="M24" s="2707"/>
      <c r="N24" s="2707"/>
      <c r="O24" s="2707"/>
      <c r="P24" s="3738"/>
      <c r="Q24" s="1349">
        <f t="shared" ref="Q24:Q36" si="11">B24</f>
        <v>111</v>
      </c>
      <c r="R24" s="705" t="s">
        <v>14</v>
      </c>
      <c r="S24" s="706">
        <f>F24</f>
        <v>100</v>
      </c>
      <c r="T24" s="705" t="s">
        <v>14</v>
      </c>
      <c r="U24" s="706">
        <f>H24</f>
        <v>100</v>
      </c>
      <c r="V24" s="705" t="s">
        <v>14</v>
      </c>
      <c r="W24" s="706">
        <f>J24</f>
        <v>100</v>
      </c>
      <c r="X24" s="1352"/>
      <c r="Y24" s="3738"/>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8"/>
      <c r="M25" s="2709"/>
      <c r="N25" s="2709"/>
      <c r="O25" s="2709"/>
      <c r="P25" s="3738"/>
      <c r="Q25" s="1340">
        <f t="shared" si="11"/>
        <v>111</v>
      </c>
      <c r="R25" s="701" t="s">
        <v>14</v>
      </c>
      <c r="S25" s="702">
        <f>F25</f>
        <v>100</v>
      </c>
      <c r="T25" s="701" t="s">
        <v>14</v>
      </c>
      <c r="U25" s="702">
        <f>H25</f>
        <v>100</v>
      </c>
      <c r="V25" s="701" t="s">
        <v>14</v>
      </c>
      <c r="W25" s="702">
        <f>J25</f>
        <v>100</v>
      </c>
      <c r="X25" s="703"/>
      <c r="Y25" s="3738"/>
      <c r="Z25" s="52">
        <f>Q25</f>
        <v>111</v>
      </c>
      <c r="AA25" s="1350">
        <f>D25/F25</f>
        <v>1</v>
      </c>
      <c r="AB25" s="1350">
        <f>D25/H25</f>
        <v>1</v>
      </c>
      <c r="AC25" s="1350">
        <f>D25/J25</f>
        <v>1</v>
      </c>
    </row>
    <row r="26" spans="1:29" ht="28.5">
      <c r="A26" s="600" t="s">
        <v>1691</v>
      </c>
      <c r="B26" s="62" t="s">
        <v>1833</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3"/>
      <c r="M26" s="2707"/>
      <c r="N26" s="2707"/>
      <c r="O26" s="2707"/>
      <c r="P26" s="3739" t="s">
        <v>1693</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40" t="s">
        <v>1693</v>
      </c>
      <c r="Z26" s="1353" t="str">
        <f t="shared" ref="Z26:Z36" si="15">Q26</f>
        <v>配套类型</v>
      </c>
      <c r="AA26" s="1350" t="e">
        <f t="shared" si="3"/>
        <v>#DIV/0!</v>
      </c>
      <c r="AB26" s="1350" t="e">
        <f t="shared" si="4"/>
        <v>#DIV/0!</v>
      </c>
      <c r="AC26" s="1350"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2"/>
      <c r="M27" s="2714"/>
      <c r="N27" s="2714"/>
      <c r="O27" s="2714"/>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0">
        <f t="shared" si="3"/>
        <v>1</v>
      </c>
      <c r="AB27" s="1350">
        <f t="shared" si="4"/>
        <v>1</v>
      </c>
      <c r="AC27" s="1350">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3"/>
      <c r="M28" s="2707"/>
      <c r="N28" s="2707"/>
      <c r="O28" s="2707"/>
      <c r="P28" s="3740"/>
      <c r="Q28" s="1349" t="str">
        <f t="shared" si="11"/>
        <v>公共部分装修</v>
      </c>
      <c r="R28" s="705" t="s">
        <v>14</v>
      </c>
      <c r="S28" s="706">
        <f t="shared" si="12"/>
        <v>100</v>
      </c>
      <c r="T28" s="705" t="s">
        <v>14</v>
      </c>
      <c r="U28" s="706">
        <f t="shared" si="13"/>
        <v>100</v>
      </c>
      <c r="V28" s="705" t="s">
        <v>14</v>
      </c>
      <c r="W28" s="706">
        <f t="shared" si="14"/>
        <v>100</v>
      </c>
      <c r="X28" s="1352"/>
      <c r="Y28" s="3740"/>
      <c r="Z28" s="1353" t="str">
        <f t="shared" si="15"/>
        <v>公共部分装修</v>
      </c>
      <c r="AA28" s="1350">
        <f t="shared" si="3"/>
        <v>1</v>
      </c>
      <c r="AB28" s="1350">
        <f t="shared" si="4"/>
        <v>1</v>
      </c>
      <c r="AC28" s="1350">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3"/>
      <c r="M29" s="2707"/>
      <c r="N29" s="2707"/>
      <c r="O29" s="2707"/>
      <c r="P29" s="3740"/>
      <c r="Q29" s="1349" t="str">
        <f t="shared" si="11"/>
        <v>成新率</v>
      </c>
      <c r="R29" s="705" t="s">
        <v>14</v>
      </c>
      <c r="S29" s="706" t="e">
        <f t="shared" si="12"/>
        <v>#N/A</v>
      </c>
      <c r="T29" s="705" t="s">
        <v>14</v>
      </c>
      <c r="U29" s="706" t="e">
        <f t="shared" si="13"/>
        <v>#N/A</v>
      </c>
      <c r="V29" s="705" t="s">
        <v>14</v>
      </c>
      <c r="W29" s="706" t="e">
        <f t="shared" si="14"/>
        <v>#N/A</v>
      </c>
      <c r="X29" s="1352"/>
      <c r="Y29" s="3740"/>
      <c r="Z29" s="1353" t="str">
        <f t="shared" si="15"/>
        <v>成新率</v>
      </c>
      <c r="AA29" s="1350" t="e">
        <f t="shared" si="3"/>
        <v>#N/A</v>
      </c>
      <c r="AB29" s="1350" t="e">
        <f t="shared" si="4"/>
        <v>#N/A</v>
      </c>
      <c r="AC29" s="1350"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3"/>
      <c r="M30" s="2707"/>
      <c r="N30" s="2707"/>
      <c r="O30" s="2707"/>
      <c r="P30" s="3740"/>
      <c r="Q30" s="1349" t="str">
        <f t="shared" si="11"/>
        <v>物业等级</v>
      </c>
      <c r="R30" s="705" t="s">
        <v>14</v>
      </c>
      <c r="S30" s="706">
        <f t="shared" si="12"/>
        <v>100</v>
      </c>
      <c r="T30" s="705" t="s">
        <v>14</v>
      </c>
      <c r="U30" s="706">
        <f t="shared" si="13"/>
        <v>100</v>
      </c>
      <c r="V30" s="705" t="s">
        <v>14</v>
      </c>
      <c r="W30" s="706">
        <f t="shared" si="14"/>
        <v>100</v>
      </c>
      <c r="X30" s="1352"/>
      <c r="Y30" s="3740"/>
      <c r="Z30" s="1353" t="str">
        <f t="shared" si="15"/>
        <v>物业等级</v>
      </c>
      <c r="AA30" s="1350">
        <f t="shared" si="3"/>
        <v>1</v>
      </c>
      <c r="AB30" s="1350">
        <f t="shared" si="4"/>
        <v>1</v>
      </c>
      <c r="AC30" s="1350">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8"/>
      <c r="M31" s="2709"/>
      <c r="N31" s="2709"/>
      <c r="O31" s="2709"/>
      <c r="P31" s="3740"/>
      <c r="Q31" s="1340"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3"/>
      <c r="M32" s="2707"/>
      <c r="N32" s="2707"/>
      <c r="O32" s="2707"/>
      <c r="P32" s="3740" t="s">
        <v>1693</v>
      </c>
      <c r="Q32" s="1349" t="str">
        <f t="shared" si="11"/>
        <v>车位类型</v>
      </c>
      <c r="R32" s="705" t="s">
        <v>14</v>
      </c>
      <c r="S32" s="706">
        <f t="shared" si="12"/>
        <v>100</v>
      </c>
      <c r="T32" s="705" t="s">
        <v>14</v>
      </c>
      <c r="U32" s="706">
        <f t="shared" si="13"/>
        <v>100</v>
      </c>
      <c r="V32" s="705" t="s">
        <v>14</v>
      </c>
      <c r="W32" s="706">
        <f t="shared" si="14"/>
        <v>100</v>
      </c>
      <c r="X32" s="1352"/>
      <c r="Y32" s="3740"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3"/>
      <c r="M33" s="2707"/>
      <c r="N33" s="2707"/>
      <c r="O33" s="2707"/>
      <c r="P33" s="3740"/>
      <c r="Q33" s="1349" t="str">
        <f t="shared" si="11"/>
        <v>是否直接入户</v>
      </c>
      <c r="R33" s="705" t="s">
        <v>14</v>
      </c>
      <c r="S33" s="706">
        <f t="shared" si="12"/>
        <v>100</v>
      </c>
      <c r="T33" s="705" t="s">
        <v>14</v>
      </c>
      <c r="U33" s="706">
        <f t="shared" si="13"/>
        <v>100</v>
      </c>
      <c r="V33" s="705" t="s">
        <v>14</v>
      </c>
      <c r="W33" s="706">
        <f t="shared" si="14"/>
        <v>100</v>
      </c>
      <c r="X33" s="1352"/>
      <c r="Y33" s="374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3"/>
      <c r="M34" s="2707"/>
      <c r="N34" s="2707"/>
      <c r="O34" s="2707"/>
      <c r="P34" s="3740"/>
      <c r="Q34" s="1349">
        <f t="shared" si="11"/>
        <v>111</v>
      </c>
      <c r="R34" s="705" t="s">
        <v>14</v>
      </c>
      <c r="S34" s="706">
        <f t="shared" si="12"/>
        <v>100</v>
      </c>
      <c r="T34" s="705" t="s">
        <v>14</v>
      </c>
      <c r="U34" s="706">
        <f t="shared" si="13"/>
        <v>100</v>
      </c>
      <c r="V34" s="705" t="s">
        <v>14</v>
      </c>
      <c r="W34" s="706">
        <f t="shared" si="14"/>
        <v>100</v>
      </c>
      <c r="X34" s="1352"/>
      <c r="Y34" s="374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2"/>
      <c r="M35" s="2714"/>
      <c r="N35" s="2714"/>
      <c r="O35" s="2714"/>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3"/>
      <c r="M36" s="2707"/>
      <c r="N36" s="2707"/>
      <c r="O36" s="2707"/>
      <c r="P36" s="3740"/>
      <c r="Q36" s="1349">
        <f t="shared" si="11"/>
        <v>111</v>
      </c>
      <c r="R36" s="705" t="s">
        <v>14</v>
      </c>
      <c r="S36" s="706">
        <f t="shared" si="12"/>
        <v>100</v>
      </c>
      <c r="T36" s="705" t="s">
        <v>14</v>
      </c>
      <c r="U36" s="706">
        <f t="shared" si="13"/>
        <v>100</v>
      </c>
      <c r="V36" s="705" t="s">
        <v>14</v>
      </c>
      <c r="W36" s="706">
        <f t="shared" si="14"/>
        <v>100</v>
      </c>
      <c r="X36" s="1352"/>
      <c r="Y36" s="3740"/>
      <c r="Z36" s="1353">
        <f t="shared" si="15"/>
        <v>111</v>
      </c>
      <c r="AA36" s="1350">
        <f t="shared" si="3"/>
        <v>1</v>
      </c>
      <c r="AB36" s="1350">
        <f t="shared" si="4"/>
        <v>1</v>
      </c>
      <c r="AC36" s="1350">
        <f t="shared" si="5"/>
        <v>1</v>
      </c>
    </row>
    <row r="37" spans="1:29" ht="15">
      <c r="A37" s="430" t="s">
        <v>1841</v>
      </c>
      <c r="B37" s="1967" t="s">
        <v>3352</v>
      </c>
      <c r="C37" s="1154" t="s">
        <v>0</v>
      </c>
      <c r="D37" s="1155"/>
      <c r="E37" s="1156"/>
      <c r="F37" s="1157"/>
      <c r="G37" s="1158"/>
      <c r="H37" s="1159"/>
      <c r="I37" s="1156"/>
      <c r="J37" s="1159"/>
      <c r="K37" s="568"/>
      <c r="L37" s="2715"/>
      <c r="M37" s="2716"/>
      <c r="N37" s="2707"/>
      <c r="O37" s="2716"/>
      <c r="P37" s="3722" t="str">
        <f>A37</f>
        <v>成交单价</v>
      </c>
      <c r="Q37" s="3722"/>
      <c r="R37" s="3761">
        <f>E37</f>
        <v>0</v>
      </c>
      <c r="S37" s="3761"/>
      <c r="T37" s="3761">
        <f>G37</f>
        <v>0</v>
      </c>
      <c r="U37" s="3761"/>
      <c r="V37" s="3761">
        <f>I37</f>
        <v>0</v>
      </c>
      <c r="W37" s="3761"/>
      <c r="X37" s="690"/>
      <c r="Y37" s="712"/>
      <c r="Z37" s="690"/>
      <c r="AA37" s="690"/>
      <c r="AB37" s="690"/>
      <c r="AC37" s="690"/>
    </row>
    <row r="38" spans="1:29" ht="15.75" thickBot="1">
      <c r="A38" s="437" t="s">
        <v>1842</v>
      </c>
      <c r="B38" s="438" t="str">
        <f>B37</f>
        <v>元/平方米</v>
      </c>
      <c r="C38" s="1160" t="e">
        <f>R39</f>
        <v>#DIV/0!</v>
      </c>
      <c r="D38" s="2310" t="s">
        <v>2134</v>
      </c>
      <c r="E38" s="1161" t="e">
        <f>R38</f>
        <v>#DIV/0!</v>
      </c>
      <c r="F38" s="2311"/>
      <c r="G38" s="1160" t="e">
        <f>T38</f>
        <v>#DIV/0!</v>
      </c>
      <c r="H38" s="2311"/>
      <c r="I38" s="1161" t="e">
        <f>V38</f>
        <v>#DIV/0!</v>
      </c>
      <c r="J38" s="2311"/>
      <c r="K38" s="2313">
        <f>F38+H38+J38</f>
        <v>0</v>
      </c>
      <c r="L38" s="2715"/>
      <c r="M38" s="2716"/>
      <c r="N38" s="2716"/>
      <c r="O38" s="2716"/>
      <c r="P38" s="3722" t="str">
        <f>A38</f>
        <v>比较价值（元/平方米）</v>
      </c>
      <c r="Q38" s="3722"/>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15"/>
      <c r="M39" s="2716"/>
      <c r="N39" s="2716"/>
      <c r="O39" s="2716"/>
      <c r="P39" s="3742" t="str">
        <f>A39</f>
        <v>估价对象XX用房的比较价值（楼面单价，元/平方米）</v>
      </c>
      <c r="Q39" s="3743"/>
      <c r="R39" s="3809" t="e">
        <f>IF(F1="售价",ROUND(IF(D38="简单平均",AVERAGE(R38:W38),R38*F38+T38*H38+V38*J38),0),ROUND(IF(D38="简单平均",AVERAGE(R38:V38),R38*F38+T38*H38+V38*J38),1))</f>
        <v>#DIV/0!</v>
      </c>
      <c r="S39" s="3809"/>
      <c r="T39" s="3809"/>
      <c r="U39" s="3809"/>
      <c r="V39" s="3809"/>
      <c r="W39" s="3809"/>
      <c r="X39" s="690"/>
      <c r="Y39" s="690"/>
      <c r="Z39" s="690"/>
      <c r="AA39" s="690"/>
      <c r="AB39" s="690"/>
      <c r="AC39" s="690"/>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51" customFormat="1" ht="13.5" customHeight="1">
      <c r="A44" s="2719"/>
      <c r="B44" s="2719"/>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51"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6" t="s">
        <v>1847</v>
      </c>
      <c r="B47" s="927"/>
      <c r="C47" s="940"/>
      <c r="D47" s="940"/>
      <c r="E47" s="940"/>
      <c r="F47" s="1167"/>
      <c r="G47" s="1167"/>
      <c r="H47" s="940"/>
      <c r="I47" s="940"/>
      <c r="J47" s="940"/>
      <c r="K47" s="941"/>
      <c r="L47" s="942"/>
      <c r="M47" s="940"/>
      <c r="N47" s="2760"/>
      <c r="O47" s="2760"/>
      <c r="P47" s="2749"/>
      <c r="Q47" s="2730"/>
      <c r="R47" s="2716"/>
      <c r="S47" s="2716"/>
      <c r="T47" s="2716"/>
      <c r="U47" s="2716"/>
      <c r="V47" s="2716"/>
      <c r="W47" s="2716"/>
      <c r="X47" s="2716"/>
      <c r="Y47" s="2716"/>
      <c r="Z47" s="2716"/>
      <c r="AA47" s="2716"/>
      <c r="AB47" s="2716"/>
      <c r="AC47" s="2716"/>
    </row>
    <row r="48" spans="1:29" s="457" customFormat="1" ht="15">
      <c r="A48" s="454" t="s">
        <v>1848</v>
      </c>
      <c r="B48" s="455"/>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50"/>
      <c r="Q48" s="2732"/>
      <c r="R48" s="2732"/>
      <c r="S48" s="2732"/>
      <c r="T48" s="2732"/>
      <c r="U48" s="2732"/>
      <c r="V48" s="2732"/>
      <c r="W48" s="2732"/>
      <c r="X48" s="2732"/>
      <c r="Y48" s="2732"/>
      <c r="Z48" s="2732"/>
      <c r="AA48" s="2732"/>
      <c r="AB48" s="2732"/>
      <c r="AC48" s="2732"/>
    </row>
    <row r="49" spans="1:29" s="108" customFormat="1" ht="15">
      <c r="A49" s="458"/>
      <c r="B49" s="459"/>
      <c r="C49" s="1177">
        <v>100</v>
      </c>
      <c r="D49" s="461"/>
      <c r="E49" s="461"/>
      <c r="F49" s="461"/>
      <c r="G49" s="461"/>
      <c r="H49" s="461"/>
      <c r="I49" s="461"/>
      <c r="J49" s="461"/>
      <c r="K49" s="461"/>
      <c r="L49" s="461"/>
      <c r="M49" s="462"/>
      <c r="N49" s="461"/>
      <c r="O49" s="462"/>
      <c r="P49" s="2751"/>
      <c r="Q49" s="2652"/>
      <c r="R49" s="2652"/>
      <c r="S49" s="2652"/>
      <c r="T49" s="2652"/>
      <c r="U49" s="2652"/>
      <c r="V49" s="2652"/>
      <c r="W49" s="2652"/>
      <c r="X49" s="2652"/>
      <c r="Y49" s="2652"/>
      <c r="Z49" s="2652"/>
      <c r="AA49" s="2652"/>
      <c r="AB49" s="2652"/>
      <c r="AC49" s="2652"/>
    </row>
    <row r="50" spans="1:29" s="108" customFormat="1" ht="15.75" thickBot="1">
      <c r="A50" s="464" t="s">
        <v>1713</v>
      </c>
      <c r="B50" s="465"/>
      <c r="C50" s="466"/>
      <c r="D50" s="467"/>
      <c r="E50" s="467"/>
      <c r="F50" s="467"/>
      <c r="G50" s="467"/>
      <c r="H50" s="467"/>
      <c r="I50" s="467"/>
      <c r="J50" s="467"/>
      <c r="K50" s="467"/>
      <c r="L50" s="467"/>
      <c r="M50" s="468"/>
      <c r="N50" s="467"/>
      <c r="O50" s="468"/>
      <c r="P50" s="2751"/>
      <c r="Q50" s="2730"/>
      <c r="R50" s="2652"/>
      <c r="S50" s="2652"/>
      <c r="T50" s="2652"/>
      <c r="U50" s="2652"/>
      <c r="V50" s="2652"/>
      <c r="W50" s="2652"/>
      <c r="X50" s="2652"/>
      <c r="Y50" s="2652"/>
      <c r="Z50" s="2652"/>
      <c r="AA50" s="2652"/>
      <c r="AB50" s="2652"/>
      <c r="AC50" s="2652"/>
    </row>
    <row r="51" spans="1:29" s="108" customFormat="1" ht="15">
      <c r="A51" s="470" t="s">
        <v>1678</v>
      </c>
      <c r="B51" s="459"/>
      <c r="C51" s="471" t="s">
        <v>1773</v>
      </c>
      <c r="D51" s="472"/>
      <c r="E51" s="472"/>
      <c r="F51" s="472"/>
      <c r="G51" s="472"/>
      <c r="H51" s="472"/>
      <c r="I51" s="472"/>
      <c r="J51" s="472"/>
      <c r="K51" s="472"/>
      <c r="L51" s="473"/>
      <c r="M51" s="474"/>
      <c r="N51" s="2743"/>
      <c r="O51" s="2743"/>
      <c r="P51" s="2752"/>
      <c r="Q51" s="2730"/>
      <c r="R51" s="2652"/>
      <c r="S51" s="2652"/>
      <c r="T51" s="2652"/>
      <c r="U51" s="2652"/>
      <c r="V51" s="2652"/>
      <c r="W51" s="2652"/>
      <c r="X51" s="2652"/>
      <c r="Y51" s="2652"/>
      <c r="Z51" s="2652"/>
      <c r="AA51" s="2652"/>
      <c r="AB51" s="2652"/>
      <c r="AC51" s="2652"/>
    </row>
    <row r="52" spans="1:29" s="108" customFormat="1" ht="15.75" thickBot="1">
      <c r="A52" s="470"/>
      <c r="B52" s="459"/>
      <c r="C52" s="587">
        <v>100</v>
      </c>
      <c r="D52" s="461"/>
      <c r="E52" s="461"/>
      <c r="F52" s="461"/>
      <c r="G52" s="461"/>
      <c r="H52" s="461"/>
      <c r="I52" s="461"/>
      <c r="J52" s="461"/>
      <c r="K52" s="461"/>
      <c r="L52" s="461"/>
      <c r="M52" s="463"/>
      <c r="N52" s="2743"/>
      <c r="O52" s="2743"/>
      <c r="P52" s="2751"/>
      <c r="Q52" s="2730"/>
      <c r="R52" s="2652"/>
      <c r="S52" s="2652"/>
      <c r="T52" s="2652"/>
      <c r="U52" s="2652"/>
      <c r="V52" s="2652"/>
      <c r="W52" s="2652"/>
      <c r="X52" s="2652"/>
      <c r="Y52" s="2652"/>
      <c r="Z52" s="2652"/>
      <c r="AA52" s="2652"/>
      <c r="AB52" s="2652"/>
      <c r="AC52" s="2652"/>
    </row>
    <row r="53" spans="1:29">
      <c r="A53" s="476" t="s">
        <v>1716</v>
      </c>
      <c r="B53" s="477" t="s">
        <v>1682</v>
      </c>
      <c r="C53" s="478">
        <f>C9</f>
        <v>0</v>
      </c>
      <c r="D53" s="479"/>
      <c r="E53" s="479"/>
      <c r="F53" s="479"/>
      <c r="G53" s="479"/>
      <c r="H53" s="479"/>
      <c r="I53" s="479"/>
      <c r="J53" s="479"/>
      <c r="K53" s="480"/>
      <c r="L53" s="481"/>
      <c r="M53" s="482"/>
      <c r="N53" s="2744"/>
      <c r="O53" s="2744"/>
      <c r="P53" s="2753"/>
      <c r="Q53" s="2730"/>
      <c r="R53" s="2716"/>
      <c r="S53" s="2716"/>
      <c r="T53" s="2716"/>
      <c r="U53" s="2716"/>
      <c r="V53" s="2716"/>
      <c r="W53" s="2716"/>
      <c r="X53" s="2716"/>
      <c r="Y53" s="2716"/>
      <c r="Z53" s="2716"/>
      <c r="AA53" s="2716"/>
      <c r="AB53" s="2716"/>
      <c r="AC53" s="2716"/>
    </row>
    <row r="54" spans="1:29" ht="15.75" thickBot="1">
      <c r="A54" s="483"/>
      <c r="B54" s="484"/>
      <c r="C54" s="485">
        <v>100</v>
      </c>
      <c r="D54" s="485"/>
      <c r="E54" s="485"/>
      <c r="F54" s="485"/>
      <c r="G54" s="485"/>
      <c r="H54" s="485"/>
      <c r="I54" s="485"/>
      <c r="J54" s="485"/>
      <c r="K54" s="485"/>
      <c r="L54" s="485"/>
      <c r="M54" s="486"/>
      <c r="N54" s="2745"/>
      <c r="O54" s="2745"/>
      <c r="P54" s="2753"/>
      <c r="Q54" s="2730"/>
      <c r="R54" s="2716"/>
      <c r="S54" s="2716"/>
      <c r="T54" s="2716"/>
      <c r="U54" s="2716"/>
      <c r="V54" s="2716"/>
      <c r="W54" s="2716"/>
      <c r="X54" s="2716"/>
      <c r="Y54" s="2716"/>
      <c r="Z54" s="2716"/>
      <c r="AA54" s="2716"/>
      <c r="AB54" s="2716"/>
      <c r="AC54" s="2716"/>
    </row>
    <row r="55" spans="1:29" ht="27.75" thickTop="1">
      <c r="A55" s="483"/>
      <c r="B55" s="487" t="s">
        <v>1685</v>
      </c>
      <c r="C55" s="532"/>
      <c r="D55" s="532"/>
      <c r="E55" s="532"/>
      <c r="F55" s="532"/>
      <c r="G55" s="532"/>
      <c r="H55" s="532"/>
      <c r="I55" s="532"/>
      <c r="J55" s="532"/>
      <c r="K55" s="533"/>
      <c r="L55" s="534"/>
      <c r="M55" s="535"/>
      <c r="N55" s="2744"/>
      <c r="O55" s="2744"/>
      <c r="P55" s="2753"/>
      <c r="Q55" s="2730"/>
      <c r="R55" s="2716"/>
      <c r="S55" s="2716"/>
      <c r="T55" s="2716"/>
      <c r="U55" s="2716"/>
      <c r="V55" s="2716"/>
      <c r="W55" s="2716"/>
      <c r="X55" s="2716"/>
      <c r="Y55" s="2716"/>
      <c r="Z55" s="2716"/>
      <c r="AA55" s="2716"/>
      <c r="AB55" s="2716"/>
      <c r="AC55" s="2716"/>
    </row>
    <row r="56" spans="1:29" ht="15.75" thickBot="1">
      <c r="A56" s="483"/>
      <c r="B56" s="492"/>
      <c r="C56" s="485"/>
      <c r="D56" s="485"/>
      <c r="E56" s="485"/>
      <c r="F56" s="485"/>
      <c r="G56" s="485"/>
      <c r="H56" s="485"/>
      <c r="I56" s="485"/>
      <c r="J56" s="485"/>
      <c r="K56" s="485"/>
      <c r="L56" s="485"/>
      <c r="M56" s="486"/>
      <c r="N56" s="2745"/>
      <c r="O56" s="2745"/>
      <c r="P56" s="2753"/>
      <c r="Q56" s="2730"/>
      <c r="R56" s="2716"/>
      <c r="S56" s="2716"/>
      <c r="T56" s="2716"/>
      <c r="U56" s="2716"/>
      <c r="V56" s="2716"/>
      <c r="W56" s="2716"/>
      <c r="X56" s="2716"/>
      <c r="Y56" s="2716"/>
      <c r="Z56" s="2716"/>
      <c r="AA56" s="2716"/>
      <c r="AB56" s="2716"/>
      <c r="AC56" s="2716"/>
    </row>
    <row r="57" spans="1:29" ht="15.75" thickTop="1">
      <c r="A57" s="483"/>
      <c r="B57" s="608">
        <f>B11</f>
        <v>111</v>
      </c>
      <c r="C57" s="498"/>
      <c r="D57" s="498"/>
      <c r="E57" s="498"/>
      <c r="F57" s="498"/>
      <c r="G57" s="498"/>
      <c r="H57" s="498"/>
      <c r="I57" s="498"/>
      <c r="J57" s="498"/>
      <c r="K57" s="499"/>
      <c r="L57" s="500"/>
      <c r="M57" s="501"/>
      <c r="N57" s="2744"/>
      <c r="O57" s="2744"/>
      <c r="P57" s="2753"/>
      <c r="Q57" s="2730"/>
      <c r="R57" s="2716"/>
      <c r="S57" s="2716"/>
      <c r="T57" s="2716"/>
      <c r="U57" s="2716"/>
      <c r="V57" s="2716"/>
      <c r="W57" s="2716"/>
      <c r="X57" s="2716"/>
      <c r="Y57" s="2716"/>
      <c r="Z57" s="2716"/>
      <c r="AA57" s="2716"/>
      <c r="AB57" s="2716"/>
      <c r="AC57" s="2716"/>
    </row>
    <row r="58" spans="1:29" ht="15.75" thickBot="1">
      <c r="A58" s="483"/>
      <c r="B58" s="484"/>
      <c r="C58" s="509"/>
      <c r="D58" s="485"/>
      <c r="E58" s="485"/>
      <c r="F58" s="485"/>
      <c r="G58" s="485"/>
      <c r="H58" s="485"/>
      <c r="I58" s="485"/>
      <c r="J58" s="485"/>
      <c r="K58" s="485"/>
      <c r="L58" s="485"/>
      <c r="M58" s="486"/>
      <c r="N58" s="2745"/>
      <c r="O58" s="2745"/>
      <c r="P58" s="2753"/>
      <c r="Q58" s="2730"/>
      <c r="R58" s="2716"/>
      <c r="S58" s="2716"/>
      <c r="T58" s="2716"/>
      <c r="U58" s="2716"/>
      <c r="V58" s="2716"/>
      <c r="W58" s="2716"/>
      <c r="X58" s="2716"/>
      <c r="Y58" s="2716"/>
      <c r="Z58" s="2716"/>
      <c r="AA58" s="2716"/>
      <c r="AB58" s="2716"/>
      <c r="AC58" s="2716"/>
    </row>
    <row r="59" spans="1:29" s="422" customFormat="1" ht="15.75" thickTop="1">
      <c r="A59" s="502"/>
      <c r="B59" s="487">
        <f>B12</f>
        <v>111</v>
      </c>
      <c r="C59" s="498"/>
      <c r="D59" s="498"/>
      <c r="E59" s="498"/>
      <c r="F59" s="498"/>
      <c r="G59" s="503"/>
      <c r="H59" s="504"/>
      <c r="I59" s="504"/>
      <c r="J59" s="504"/>
      <c r="K59" s="504"/>
      <c r="L59" s="505"/>
      <c r="M59" s="506"/>
      <c r="N59" s="2746"/>
      <c r="O59" s="2746"/>
      <c r="P59" s="2754"/>
      <c r="Q59" s="2737"/>
      <c r="R59" s="2738"/>
      <c r="S59" s="2738"/>
      <c r="T59" s="2738"/>
      <c r="U59" s="2738"/>
      <c r="V59" s="2738"/>
      <c r="W59" s="2738"/>
      <c r="X59" s="2738"/>
      <c r="Y59" s="2738"/>
      <c r="Z59" s="2738"/>
      <c r="AA59" s="2738"/>
      <c r="AB59" s="2738"/>
      <c r="AC59" s="2738"/>
    </row>
    <row r="60" spans="1:29" s="422" customFormat="1" ht="15.75" thickBot="1">
      <c r="A60" s="502"/>
      <c r="B60" s="492"/>
      <c r="C60" s="509"/>
      <c r="D60" s="485"/>
      <c r="E60" s="485"/>
      <c r="F60" s="485"/>
      <c r="G60" s="485"/>
      <c r="H60" s="485"/>
      <c r="I60" s="485"/>
      <c r="J60" s="485"/>
      <c r="K60" s="485"/>
      <c r="L60" s="485"/>
      <c r="M60" s="486"/>
      <c r="N60" s="2745"/>
      <c r="O60" s="2745"/>
      <c r="P60" s="2754"/>
      <c r="Q60" s="2737"/>
      <c r="R60" s="2738"/>
      <c r="S60" s="2738"/>
      <c r="T60" s="2738"/>
      <c r="U60" s="2738"/>
      <c r="V60" s="2738"/>
      <c r="W60" s="2738"/>
      <c r="X60" s="2738"/>
      <c r="Y60" s="2738"/>
      <c r="Z60" s="2738"/>
      <c r="AA60" s="2738"/>
      <c r="AB60" s="2738"/>
      <c r="AC60" s="2738"/>
    </row>
    <row r="61" spans="1:29" s="422" customFormat="1" ht="15.75" thickTop="1">
      <c r="A61" s="502"/>
      <c r="B61" s="487">
        <f>B13</f>
        <v>111</v>
      </c>
      <c r="C61" s="503"/>
      <c r="D61" s="503"/>
      <c r="E61" s="503"/>
      <c r="F61" s="503"/>
      <c r="G61" s="503"/>
      <c r="H61" s="504"/>
      <c r="I61" s="504"/>
      <c r="J61" s="504"/>
      <c r="K61" s="504"/>
      <c r="L61" s="505"/>
      <c r="M61" s="506"/>
      <c r="N61" s="2746"/>
      <c r="O61" s="2746"/>
      <c r="P61" s="2755"/>
      <c r="Q61" s="2740"/>
      <c r="R61" s="2738"/>
      <c r="S61" s="2738"/>
      <c r="T61" s="2738"/>
      <c r="U61" s="2738"/>
      <c r="V61" s="2738"/>
      <c r="W61" s="2738"/>
      <c r="X61" s="2738"/>
      <c r="Y61" s="2738"/>
      <c r="Z61" s="2738"/>
      <c r="AA61" s="2738"/>
      <c r="AB61" s="2738"/>
      <c r="AC61" s="2738"/>
    </row>
    <row r="62" spans="1:29" s="422" customFormat="1" ht="15.75" thickBot="1">
      <c r="A62" s="502"/>
      <c r="B62" s="492"/>
      <c r="C62" s="509"/>
      <c r="D62" s="509"/>
      <c r="E62" s="509"/>
      <c r="F62" s="509"/>
      <c r="G62" s="509"/>
      <c r="H62" s="511"/>
      <c r="I62" s="511"/>
      <c r="J62" s="511"/>
      <c r="K62" s="511"/>
      <c r="L62" s="511"/>
      <c r="M62" s="512"/>
      <c r="N62" s="2746"/>
      <c r="O62" s="2746"/>
      <c r="P62" s="2754"/>
      <c r="Q62" s="2737"/>
      <c r="R62" s="2738"/>
      <c r="S62" s="2738"/>
      <c r="T62" s="2738"/>
      <c r="U62" s="2738"/>
      <c r="V62" s="2738"/>
      <c r="W62" s="2738"/>
      <c r="X62" s="2738"/>
      <c r="Y62" s="2738"/>
      <c r="Z62" s="2738"/>
      <c r="AA62" s="2738"/>
      <c r="AB62" s="2738"/>
      <c r="AC62" s="2738"/>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4"/>
      <c r="O63" s="2744"/>
      <c r="P63" s="2757"/>
      <c r="Q63" s="2730"/>
      <c r="R63" s="2716"/>
      <c r="S63" s="2716"/>
      <c r="T63" s="2716"/>
      <c r="U63" s="2716"/>
      <c r="V63" s="2716"/>
      <c r="W63" s="2716"/>
      <c r="X63" s="2716"/>
      <c r="Y63" s="2716"/>
      <c r="Z63" s="2716"/>
      <c r="AA63" s="2716"/>
      <c r="AB63" s="2716"/>
      <c r="AC63" s="271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5"/>
      <c r="O64" s="2745"/>
      <c r="P64" s="2753"/>
      <c r="Q64" s="2730"/>
      <c r="R64" s="2716"/>
      <c r="S64" s="2716"/>
      <c r="T64" s="2716"/>
      <c r="U64" s="2716"/>
      <c r="V64" s="2716"/>
      <c r="W64" s="2716"/>
      <c r="X64" s="2716"/>
      <c r="Y64" s="2716"/>
      <c r="Z64" s="2716"/>
      <c r="AA64" s="2716"/>
      <c r="AB64" s="2716"/>
      <c r="AC64" s="2716"/>
    </row>
    <row r="65" spans="1:29" ht="15.75" thickTop="1">
      <c r="A65" s="483"/>
      <c r="B65" s="487" t="s">
        <v>1724</v>
      </c>
      <c r="C65" s="527" t="s">
        <v>1718</v>
      </c>
      <c r="D65" s="527" t="s">
        <v>1719</v>
      </c>
      <c r="E65" s="527" t="s">
        <v>1720</v>
      </c>
      <c r="F65" s="527" t="s">
        <v>1721</v>
      </c>
      <c r="G65" s="527" t="s">
        <v>1722</v>
      </c>
      <c r="H65" s="488"/>
      <c r="I65" s="488"/>
      <c r="J65" s="488"/>
      <c r="K65" s="489"/>
      <c r="L65" s="490"/>
      <c r="M65" s="491"/>
      <c r="N65" s="2744"/>
      <c r="O65" s="2744"/>
      <c r="P65" s="2753"/>
      <c r="Q65" s="2730"/>
      <c r="R65" s="2716"/>
      <c r="S65" s="2716"/>
      <c r="T65" s="2716"/>
      <c r="U65" s="2716"/>
      <c r="V65" s="2716"/>
      <c r="W65" s="2716"/>
      <c r="X65" s="2716"/>
      <c r="Y65" s="2716"/>
      <c r="Z65" s="2716"/>
      <c r="AA65" s="2716"/>
      <c r="AB65" s="2716"/>
      <c r="AC65" s="271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5"/>
      <c r="O66" s="2745"/>
      <c r="P66" s="2753"/>
      <c r="Q66" s="2730"/>
      <c r="R66" s="2716"/>
      <c r="S66" s="2716"/>
      <c r="T66" s="2716"/>
      <c r="U66" s="2716"/>
      <c r="V66" s="2716"/>
      <c r="W66" s="2716"/>
      <c r="X66" s="2716"/>
      <c r="Y66" s="2716"/>
      <c r="Z66" s="2716"/>
      <c r="AA66" s="2716"/>
      <c r="AB66" s="2716"/>
      <c r="AC66" s="2716"/>
    </row>
    <row r="67" spans="1:29" ht="15.75" thickTop="1">
      <c r="A67" s="483"/>
      <c r="B67" s="495" t="s">
        <v>1810</v>
      </c>
      <c r="C67" s="608" t="s">
        <v>1796</v>
      </c>
      <c r="D67" s="608" t="s">
        <v>1797</v>
      </c>
      <c r="E67" s="608" t="s">
        <v>1798</v>
      </c>
      <c r="F67" s="608" t="s">
        <v>1799</v>
      </c>
      <c r="G67" s="608" t="s">
        <v>1800</v>
      </c>
      <c r="H67" s="488"/>
      <c r="I67" s="488"/>
      <c r="J67" s="488"/>
      <c r="K67" s="488"/>
      <c r="L67" s="488"/>
      <c r="M67" s="1129"/>
      <c r="N67" s="2745"/>
      <c r="O67" s="2745"/>
      <c r="P67" s="2753"/>
      <c r="Q67" s="2730"/>
      <c r="R67" s="2716"/>
      <c r="S67" s="2716"/>
      <c r="T67" s="2716"/>
      <c r="U67" s="2716"/>
      <c r="V67" s="2716"/>
      <c r="W67" s="2716"/>
      <c r="X67" s="2716"/>
      <c r="Y67" s="2716"/>
      <c r="Z67" s="2716"/>
      <c r="AA67" s="2716"/>
      <c r="AB67" s="2716"/>
      <c r="AC67" s="271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5"/>
      <c r="O68" s="2745"/>
      <c r="P68" s="2753"/>
      <c r="Q68" s="2730"/>
      <c r="R68" s="2716"/>
      <c r="S68" s="2716"/>
      <c r="T68" s="2716"/>
      <c r="U68" s="2716"/>
      <c r="V68" s="2716"/>
      <c r="W68" s="2716"/>
      <c r="X68" s="2716"/>
      <c r="Y68" s="2716"/>
      <c r="Z68" s="2716"/>
      <c r="AA68" s="2716"/>
      <c r="AB68" s="2716"/>
      <c r="AC68" s="2716"/>
    </row>
    <row r="69" spans="1:29" ht="15.75" thickTop="1">
      <c r="A69" s="483"/>
      <c r="B69" s="487" t="s">
        <v>1730</v>
      </c>
      <c r="C69" s="527" t="s">
        <v>1718</v>
      </c>
      <c r="D69" s="527" t="s">
        <v>1719</v>
      </c>
      <c r="E69" s="527" t="s">
        <v>1720</v>
      </c>
      <c r="F69" s="527" t="s">
        <v>1721</v>
      </c>
      <c r="G69" s="527" t="s">
        <v>1722</v>
      </c>
      <c r="H69" s="488"/>
      <c r="I69" s="488"/>
      <c r="J69" s="488"/>
      <c r="K69" s="489"/>
      <c r="L69" s="490"/>
      <c r="M69" s="491"/>
      <c r="N69" s="2744"/>
      <c r="O69" s="2744"/>
      <c r="P69" s="2753"/>
      <c r="Q69" s="2730"/>
      <c r="R69" s="2716"/>
      <c r="S69" s="2716"/>
      <c r="T69" s="2716"/>
      <c r="U69" s="2716"/>
      <c r="V69" s="2716"/>
      <c r="W69" s="2716"/>
      <c r="X69" s="2716"/>
      <c r="Y69" s="2716"/>
      <c r="Z69" s="2716"/>
      <c r="AA69" s="2716"/>
      <c r="AB69" s="2716"/>
      <c r="AC69" s="271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5"/>
      <c r="O70" s="2745"/>
      <c r="P70" s="2753"/>
      <c r="Q70" s="2730"/>
      <c r="R70" s="2716"/>
      <c r="S70" s="2716"/>
      <c r="T70" s="2716"/>
      <c r="U70" s="2716"/>
      <c r="V70" s="2716"/>
      <c r="W70" s="2716"/>
      <c r="X70" s="2716"/>
      <c r="Y70" s="2716"/>
      <c r="Z70" s="2716"/>
      <c r="AA70" s="2716"/>
      <c r="AB70" s="2716"/>
      <c r="AC70" s="2716"/>
    </row>
    <row r="71" spans="1:29" ht="15.75" thickTop="1">
      <c r="A71" s="483"/>
      <c r="B71" s="487" t="s">
        <v>1849</v>
      </c>
      <c r="C71" s="503"/>
      <c r="D71" s="503"/>
      <c r="E71" s="503"/>
      <c r="F71" s="503"/>
      <c r="G71" s="503"/>
      <c r="H71" s="532"/>
      <c r="I71" s="532"/>
      <c r="J71" s="532"/>
      <c r="K71" s="533"/>
      <c r="L71" s="534"/>
      <c r="M71" s="535"/>
      <c r="N71" s="2744"/>
      <c r="O71" s="2744"/>
      <c r="P71" s="2753"/>
      <c r="Q71" s="2730"/>
      <c r="R71" s="2716"/>
      <c r="S71" s="2716"/>
      <c r="T71" s="2716"/>
      <c r="U71" s="2716"/>
      <c r="V71" s="2716"/>
      <c r="W71" s="2716"/>
      <c r="X71" s="2716"/>
      <c r="Y71" s="2716"/>
      <c r="Z71" s="2716"/>
      <c r="AA71" s="2716"/>
      <c r="AB71" s="2716"/>
      <c r="AC71" s="271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5"/>
      <c r="O72" s="2745"/>
      <c r="P72" s="2753"/>
      <c r="Q72" s="2730"/>
      <c r="R72" s="2716"/>
      <c r="S72" s="2716"/>
      <c r="T72" s="2716"/>
      <c r="U72" s="2716"/>
      <c r="V72" s="2716"/>
      <c r="W72" s="2716"/>
      <c r="X72" s="2716"/>
      <c r="Y72" s="2716"/>
      <c r="Z72" s="2716"/>
      <c r="AA72" s="2716"/>
      <c r="AB72" s="2716"/>
      <c r="AC72" s="2716"/>
    </row>
    <row r="73" spans="1:29" s="108" customFormat="1" ht="15.75" thickTop="1">
      <c r="A73" s="528"/>
      <c r="B73" s="487">
        <f>B23</f>
        <v>111</v>
      </c>
      <c r="C73" s="498"/>
      <c r="D73" s="498"/>
      <c r="E73" s="498"/>
      <c r="F73" s="498"/>
      <c r="G73" s="503"/>
      <c r="H73" s="503"/>
      <c r="I73" s="503"/>
      <c r="J73" s="503"/>
      <c r="K73" s="503"/>
      <c r="L73" s="529"/>
      <c r="M73" s="530"/>
      <c r="N73" s="2743"/>
      <c r="O73" s="2743"/>
      <c r="P73" s="2753"/>
      <c r="Q73" s="2730"/>
      <c r="R73" s="2652"/>
      <c r="S73" s="2652"/>
      <c r="T73" s="2652"/>
      <c r="U73" s="2652"/>
      <c r="V73" s="2652"/>
      <c r="W73" s="2652"/>
      <c r="X73" s="2652"/>
      <c r="Y73" s="2652"/>
      <c r="Z73" s="2652"/>
      <c r="AA73" s="2652"/>
      <c r="AB73" s="2652"/>
      <c r="AC73" s="2652"/>
    </row>
    <row r="74" spans="1:29" s="108" customFormat="1" ht="15.75" thickBot="1">
      <c r="A74" s="528"/>
      <c r="B74" s="492"/>
      <c r="C74" s="509"/>
      <c r="D74" s="485"/>
      <c r="E74" s="485"/>
      <c r="F74" s="485"/>
      <c r="G74" s="485"/>
      <c r="H74" s="485"/>
      <c r="I74" s="485"/>
      <c r="J74" s="485"/>
      <c r="K74" s="485"/>
      <c r="L74" s="485"/>
      <c r="M74" s="486"/>
      <c r="N74" s="2745"/>
      <c r="O74" s="2745"/>
      <c r="P74" s="2753"/>
      <c r="Q74" s="2730"/>
      <c r="R74" s="2652"/>
      <c r="S74" s="2652"/>
      <c r="T74" s="2652"/>
      <c r="U74" s="2652"/>
      <c r="V74" s="2652"/>
      <c r="W74" s="2652"/>
      <c r="X74" s="2652"/>
      <c r="Y74" s="2652"/>
      <c r="Z74" s="2652"/>
      <c r="AA74" s="2652"/>
      <c r="AB74" s="2652"/>
      <c r="AC74" s="2652"/>
    </row>
    <row r="75" spans="1:29" s="108" customFormat="1" ht="15.75" thickTop="1">
      <c r="A75" s="528"/>
      <c r="B75" s="487">
        <f>B24</f>
        <v>111</v>
      </c>
      <c r="C75" s="498"/>
      <c r="D75" s="498"/>
      <c r="E75" s="498"/>
      <c r="F75" s="498"/>
      <c r="G75" s="503"/>
      <c r="H75" s="503"/>
      <c r="I75" s="503"/>
      <c r="J75" s="503"/>
      <c r="K75" s="503"/>
      <c r="L75" s="503"/>
      <c r="M75" s="530"/>
      <c r="N75" s="2743"/>
      <c r="O75" s="2743"/>
      <c r="P75" s="2753"/>
      <c r="Q75" s="2730"/>
      <c r="R75" s="2652"/>
      <c r="S75" s="2652"/>
      <c r="T75" s="2652"/>
      <c r="U75" s="2652"/>
      <c r="V75" s="2652"/>
      <c r="W75" s="2652"/>
      <c r="X75" s="2652"/>
      <c r="Y75" s="2652"/>
      <c r="Z75" s="2652"/>
      <c r="AA75" s="2652"/>
      <c r="AB75" s="2652"/>
      <c r="AC75" s="2652"/>
    </row>
    <row r="76" spans="1:29" s="108" customFormat="1" ht="15.75" thickBot="1">
      <c r="A76" s="528"/>
      <c r="B76" s="492"/>
      <c r="C76" s="509"/>
      <c r="D76" s="485"/>
      <c r="E76" s="485"/>
      <c r="F76" s="485"/>
      <c r="G76" s="485"/>
      <c r="H76" s="485"/>
      <c r="I76" s="485"/>
      <c r="J76" s="485"/>
      <c r="K76" s="485"/>
      <c r="L76" s="485"/>
      <c r="M76" s="486"/>
      <c r="N76" s="2745"/>
      <c r="O76" s="2745"/>
      <c r="P76" s="2753"/>
      <c r="Q76" s="2730"/>
      <c r="R76" s="2652"/>
      <c r="S76" s="2652"/>
      <c r="T76" s="2652"/>
      <c r="U76" s="2652"/>
      <c r="V76" s="2652"/>
      <c r="W76" s="2652"/>
      <c r="X76" s="2652"/>
      <c r="Y76" s="2652"/>
      <c r="Z76" s="2652"/>
      <c r="AA76" s="2652"/>
      <c r="AB76" s="2652"/>
      <c r="AC76" s="2652"/>
    </row>
    <row r="77" spans="1:29" s="422" customFormat="1" ht="15.75" thickTop="1">
      <c r="A77" s="502"/>
      <c r="B77" s="487">
        <f>B25</f>
        <v>111</v>
      </c>
      <c r="C77" s="503"/>
      <c r="D77" s="503"/>
      <c r="E77" s="503"/>
      <c r="F77" s="503"/>
      <c r="G77" s="503"/>
      <c r="H77" s="504"/>
      <c r="I77" s="504"/>
      <c r="J77" s="504"/>
      <c r="K77" s="504"/>
      <c r="L77" s="505"/>
      <c r="M77" s="506"/>
      <c r="N77" s="2746"/>
      <c r="O77" s="2746"/>
      <c r="P77" s="2754"/>
      <c r="Q77" s="2737"/>
      <c r="R77" s="2738"/>
      <c r="S77" s="2738"/>
      <c r="T77" s="2738"/>
      <c r="U77" s="2738"/>
      <c r="V77" s="2738"/>
      <c r="W77" s="2738"/>
      <c r="X77" s="2738"/>
      <c r="Y77" s="2738"/>
      <c r="Z77" s="2738"/>
      <c r="AA77" s="2738"/>
      <c r="AB77" s="2738"/>
      <c r="AC77" s="2738"/>
    </row>
    <row r="78" spans="1:29" s="422" customFormat="1" ht="15.75" thickBot="1">
      <c r="A78" s="502"/>
      <c r="B78" s="492"/>
      <c r="C78" s="509"/>
      <c r="D78" s="509"/>
      <c r="E78" s="509"/>
      <c r="F78" s="509"/>
      <c r="G78" s="485"/>
      <c r="H78" s="485"/>
      <c r="I78" s="485"/>
      <c r="J78" s="485"/>
      <c r="K78" s="485"/>
      <c r="L78" s="485"/>
      <c r="M78" s="486"/>
      <c r="N78" s="2746"/>
      <c r="O78" s="2746"/>
      <c r="P78" s="2754"/>
      <c r="Q78" s="2737"/>
      <c r="R78" s="2738"/>
      <c r="S78" s="2738"/>
      <c r="T78" s="2738"/>
      <c r="U78" s="2738"/>
      <c r="V78" s="2738"/>
      <c r="W78" s="2738"/>
      <c r="X78" s="2738"/>
      <c r="Y78" s="2738"/>
      <c r="Z78" s="2738"/>
      <c r="AA78" s="2738"/>
      <c r="AB78" s="2738"/>
      <c r="AC78" s="2738"/>
    </row>
    <row r="79" spans="1:29" ht="27.75" thickTop="1">
      <c r="A79" s="476" t="s">
        <v>1691</v>
      </c>
      <c r="B79" s="477" t="s">
        <v>1850</v>
      </c>
      <c r="C79" s="478" t="str">
        <f>C26</f>
        <v>车库</v>
      </c>
      <c r="D79" s="479"/>
      <c r="E79" s="479"/>
      <c r="F79" s="479"/>
      <c r="G79" s="479"/>
      <c r="H79" s="479"/>
      <c r="I79" s="479"/>
      <c r="J79" s="479"/>
      <c r="K79" s="480"/>
      <c r="L79" s="481"/>
      <c r="M79" s="482"/>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5"/>
      <c r="O80" s="2745"/>
      <c r="P80" s="2753"/>
      <c r="Q80" s="2730"/>
      <c r="R80" s="2716"/>
      <c r="S80" s="2716"/>
      <c r="T80" s="2716"/>
      <c r="U80" s="2716"/>
      <c r="V80" s="2716"/>
      <c r="W80" s="2716"/>
      <c r="X80" s="2716"/>
      <c r="Y80" s="2716"/>
      <c r="Z80" s="2716"/>
      <c r="AA80" s="2716"/>
      <c r="AB80" s="2716"/>
      <c r="AC80" s="2716"/>
    </row>
    <row r="81" spans="1:29" ht="15.75" thickTop="1">
      <c r="A81" s="483"/>
      <c r="B81" s="487" t="s">
        <v>1851</v>
      </c>
      <c r="C81" s="609"/>
      <c r="D81" s="609"/>
      <c r="E81" s="609"/>
      <c r="F81" s="609"/>
      <c r="G81" s="609"/>
      <c r="H81" s="609"/>
      <c r="I81" s="609"/>
      <c r="J81" s="609"/>
      <c r="K81" s="610"/>
      <c r="L81" s="611"/>
      <c r="M81" s="612"/>
      <c r="N81" s="2743"/>
      <c r="O81" s="2743"/>
      <c r="P81" s="2753"/>
      <c r="Q81" s="2730"/>
      <c r="R81" s="2716"/>
      <c r="S81" s="2716"/>
      <c r="T81" s="2716"/>
      <c r="U81" s="2716"/>
      <c r="V81" s="2716"/>
      <c r="W81" s="2716"/>
      <c r="X81" s="2716"/>
      <c r="Y81" s="2716"/>
      <c r="Z81" s="2716"/>
      <c r="AA81" s="2716"/>
      <c r="AB81" s="2716"/>
      <c r="AC81" s="2716"/>
    </row>
    <row r="82" spans="1:29" s="422" customFormat="1" ht="15.75" thickBot="1">
      <c r="A82" s="502"/>
      <c r="B82" s="492"/>
      <c r="C82" s="509"/>
      <c r="D82" s="485"/>
      <c r="E82" s="485"/>
      <c r="F82" s="485"/>
      <c r="G82" s="485"/>
      <c r="H82" s="485"/>
      <c r="I82" s="485"/>
      <c r="J82" s="485"/>
      <c r="K82" s="485"/>
      <c r="L82" s="485"/>
      <c r="M82" s="486"/>
      <c r="N82" s="2745"/>
      <c r="O82" s="2745"/>
      <c r="P82" s="2754"/>
      <c r="Q82" s="2737"/>
      <c r="R82" s="2738"/>
      <c r="S82" s="2738"/>
      <c r="T82" s="2738"/>
      <c r="U82" s="2738"/>
      <c r="V82" s="2738"/>
      <c r="W82" s="2738"/>
      <c r="X82" s="2738"/>
      <c r="Y82" s="2738"/>
      <c r="Z82" s="2738"/>
      <c r="AA82" s="2738"/>
      <c r="AB82" s="2738"/>
      <c r="AC82" s="2738"/>
    </row>
    <row r="83" spans="1:29" ht="15" thickTop="1">
      <c r="A83" s="548"/>
      <c r="B83" s="487" t="s">
        <v>1737</v>
      </c>
      <c r="C83" s="503"/>
      <c r="D83" s="503"/>
      <c r="E83" s="532"/>
      <c r="F83" s="532"/>
      <c r="G83" s="532"/>
      <c r="H83" s="532"/>
      <c r="I83" s="532"/>
      <c r="J83" s="532"/>
      <c r="K83" s="533"/>
      <c r="L83" s="534"/>
      <c r="M83" s="535"/>
      <c r="N83" s="2744"/>
      <c r="O83" s="2744"/>
      <c r="P83" s="2753"/>
      <c r="Q83" s="2730"/>
      <c r="R83" s="2716"/>
      <c r="S83" s="2716"/>
      <c r="T83" s="2716"/>
      <c r="U83" s="2716"/>
      <c r="V83" s="2716"/>
      <c r="W83" s="2716"/>
      <c r="X83" s="2716"/>
      <c r="Y83" s="2716"/>
      <c r="Z83" s="2716"/>
      <c r="AA83" s="2716"/>
      <c r="AB83" s="2716"/>
      <c r="AC83" s="271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5"/>
      <c r="O84" s="2745"/>
      <c r="P84" s="2753"/>
      <c r="Q84" s="2730"/>
      <c r="R84" s="2716"/>
      <c r="S84" s="2716"/>
      <c r="T84" s="2716"/>
      <c r="U84" s="2716"/>
      <c r="V84" s="2716"/>
      <c r="W84" s="2716"/>
      <c r="X84" s="2716"/>
      <c r="Y84" s="2716"/>
      <c r="Z84" s="2716"/>
      <c r="AA84" s="2716"/>
      <c r="AB84" s="2716"/>
      <c r="AC84" s="2716"/>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4"/>
      <c r="O85" s="2744"/>
      <c r="P85" s="2753"/>
      <c r="Q85" s="2730"/>
      <c r="R85" s="2716"/>
      <c r="S85" s="2716"/>
      <c r="T85" s="2716"/>
      <c r="U85" s="2716"/>
      <c r="V85" s="2716"/>
      <c r="W85" s="2716"/>
      <c r="X85" s="2716"/>
      <c r="Y85" s="2716"/>
      <c r="Z85" s="2716"/>
      <c r="AA85" s="2716"/>
      <c r="AB85" s="2716"/>
      <c r="AC85" s="2716"/>
    </row>
    <row r="86" spans="1:29">
      <c r="A86" s="548"/>
      <c r="B86" s="495"/>
      <c r="C86" s="552">
        <v>0.5</v>
      </c>
      <c r="D86" s="552">
        <v>0.6</v>
      </c>
      <c r="E86" s="552">
        <v>0.7</v>
      </c>
      <c r="F86" s="552">
        <v>0.8</v>
      </c>
      <c r="G86" s="552">
        <v>0.9</v>
      </c>
      <c r="H86" s="552">
        <v>1.0001</v>
      </c>
      <c r="I86" s="571"/>
      <c r="J86" s="571"/>
      <c r="K86" s="572"/>
      <c r="L86" s="573"/>
      <c r="M86" s="574"/>
      <c r="N86" s="2744"/>
      <c r="O86" s="2744"/>
      <c r="P86" s="2753"/>
      <c r="Q86" s="2730"/>
      <c r="R86" s="2716"/>
      <c r="S86" s="2716"/>
      <c r="T86" s="2716"/>
      <c r="U86" s="2716"/>
      <c r="V86" s="2716"/>
      <c r="W86" s="2716"/>
      <c r="X86" s="2716"/>
      <c r="Y86" s="2716"/>
      <c r="Z86" s="2716"/>
      <c r="AA86" s="2716"/>
      <c r="AB86" s="2716"/>
      <c r="AC86" s="271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5"/>
      <c r="O87" s="2745"/>
      <c r="P87" s="2753"/>
      <c r="Q87" s="2730"/>
      <c r="R87" s="2716"/>
      <c r="S87" s="2716"/>
      <c r="T87" s="2716"/>
      <c r="U87" s="2716"/>
      <c r="V87" s="2716"/>
      <c r="W87" s="2716"/>
      <c r="X87" s="2716"/>
      <c r="Y87" s="2716"/>
      <c r="Z87" s="2716"/>
      <c r="AA87" s="2716"/>
      <c r="AB87" s="2716"/>
      <c r="AC87" s="2716"/>
    </row>
    <row r="88" spans="1:29" ht="15" thickTop="1">
      <c r="A88" s="548"/>
      <c r="B88" s="495" t="s">
        <v>1853</v>
      </c>
      <c r="C88" s="479"/>
      <c r="D88" s="479"/>
      <c r="E88" s="479"/>
      <c r="F88" s="479"/>
      <c r="G88" s="479"/>
      <c r="H88" s="479"/>
      <c r="I88" s="479"/>
      <c r="J88" s="479"/>
      <c r="K88" s="480"/>
      <c r="L88" s="481"/>
      <c r="M88" s="482"/>
      <c r="N88" s="2744"/>
      <c r="O88" s="2744"/>
      <c r="P88" s="2753"/>
      <c r="Q88" s="2730"/>
      <c r="R88" s="2716"/>
      <c r="S88" s="2716"/>
      <c r="T88" s="2716"/>
      <c r="U88" s="2716"/>
      <c r="V88" s="2716"/>
      <c r="W88" s="2716"/>
      <c r="X88" s="2716"/>
      <c r="Y88" s="2716"/>
      <c r="Z88" s="2716"/>
      <c r="AA88" s="2716"/>
      <c r="AB88" s="2716"/>
      <c r="AC88" s="271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2"/>
      <c r="B91" s="495"/>
      <c r="C91" s="544"/>
      <c r="D91" s="544"/>
      <c r="E91" s="544"/>
      <c r="F91" s="544"/>
      <c r="G91" s="544"/>
      <c r="H91" s="544"/>
      <c r="I91" s="544"/>
      <c r="J91" s="545"/>
      <c r="K91" s="545"/>
      <c r="L91" s="546"/>
      <c r="M91" s="547"/>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09"/>
      <c r="D92" s="485"/>
      <c r="E92" s="485"/>
      <c r="F92" s="485"/>
      <c r="G92" s="485"/>
      <c r="H92" s="485"/>
      <c r="I92" s="485"/>
      <c r="J92" s="485"/>
      <c r="K92" s="485"/>
      <c r="L92" s="485"/>
      <c r="M92" s="486"/>
      <c r="N92" s="2746"/>
      <c r="O92" s="2746"/>
      <c r="P92" s="2754"/>
      <c r="Q92" s="2737"/>
      <c r="R92" s="2738"/>
      <c r="S92" s="2738"/>
      <c r="T92" s="2738"/>
      <c r="U92" s="2738"/>
      <c r="V92" s="2738"/>
      <c r="W92" s="2738"/>
      <c r="X92" s="2738"/>
      <c r="Y92" s="2738"/>
      <c r="Z92" s="2738"/>
      <c r="AA92" s="2738"/>
      <c r="AB92" s="2738"/>
      <c r="AC92" s="2738"/>
    </row>
    <row r="93" spans="1:29" ht="15" thickTop="1">
      <c r="A93" s="548"/>
      <c r="B93" s="487" t="s">
        <v>1855</v>
      </c>
      <c r="C93" s="503"/>
      <c r="D93" s="503"/>
      <c r="E93" s="532"/>
      <c r="F93" s="532"/>
      <c r="G93" s="532"/>
      <c r="H93" s="532"/>
      <c r="I93" s="532"/>
      <c r="J93" s="532"/>
      <c r="K93" s="533"/>
      <c r="L93" s="534"/>
      <c r="M93" s="535"/>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5"/>
      <c r="O94" s="2745"/>
      <c r="P94" s="2753"/>
      <c r="Q94" s="2730"/>
      <c r="R94" s="2716"/>
      <c r="S94" s="2716"/>
      <c r="T94" s="2716"/>
      <c r="U94" s="2716"/>
      <c r="V94" s="2716"/>
      <c r="W94" s="2716"/>
      <c r="X94" s="2716"/>
      <c r="Y94" s="2716"/>
      <c r="Z94" s="2716"/>
      <c r="AA94" s="2716"/>
      <c r="AB94" s="2716"/>
      <c r="AC94" s="2716"/>
    </row>
    <row r="95" spans="1:29" ht="15" thickTop="1">
      <c r="A95" s="548"/>
      <c r="B95" s="487" t="s">
        <v>1856</v>
      </c>
      <c r="C95" s="479"/>
      <c r="D95" s="479"/>
      <c r="E95" s="479"/>
      <c r="F95" s="479"/>
      <c r="G95" s="479"/>
      <c r="H95" s="479"/>
      <c r="I95" s="479"/>
      <c r="J95" s="479"/>
      <c r="K95" s="480"/>
      <c r="L95" s="481"/>
      <c r="M95" s="482"/>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5"/>
      <c r="O96" s="2745"/>
      <c r="P96" s="2753"/>
      <c r="Q96" s="2730"/>
      <c r="R96" s="2716"/>
      <c r="S96" s="2716"/>
      <c r="T96" s="2716"/>
      <c r="U96" s="2716"/>
      <c r="V96" s="2716"/>
      <c r="W96" s="2716"/>
      <c r="X96" s="2716"/>
      <c r="Y96" s="2716"/>
      <c r="Z96" s="2716"/>
      <c r="AA96" s="2716"/>
      <c r="AB96" s="2716"/>
      <c r="AC96" s="2716"/>
    </row>
    <row r="97" spans="1:29" ht="15" thickTop="1">
      <c r="A97" s="548"/>
      <c r="B97" s="584">
        <f>B34</f>
        <v>111</v>
      </c>
      <c r="C97" s="498"/>
      <c r="D97" s="498"/>
      <c r="E97" s="498"/>
      <c r="F97" s="498"/>
      <c r="G97" s="503"/>
      <c r="H97" s="504"/>
      <c r="I97" s="504"/>
      <c r="J97" s="504"/>
      <c r="K97" s="504"/>
      <c r="L97" s="505"/>
      <c r="M97" s="506"/>
      <c r="N97" s="2745"/>
      <c r="O97" s="2745"/>
      <c r="P97" s="2758"/>
      <c r="Q97" s="2759"/>
      <c r="R97" s="2716"/>
      <c r="S97" s="2716"/>
      <c r="T97" s="2716"/>
      <c r="U97" s="2716"/>
      <c r="V97" s="2716"/>
      <c r="W97" s="2716"/>
      <c r="X97" s="2716"/>
      <c r="Y97" s="2716"/>
      <c r="Z97" s="2716"/>
      <c r="AA97" s="2716"/>
      <c r="AB97" s="2716"/>
      <c r="AC97" s="2716"/>
    </row>
    <row r="98" spans="1:29" ht="15.75" thickBot="1">
      <c r="A98" s="483"/>
      <c r="B98" s="492"/>
      <c r="C98" s="509"/>
      <c r="D98" s="485"/>
      <c r="E98" s="485"/>
      <c r="F98" s="485"/>
      <c r="G98" s="509"/>
      <c r="H98" s="511"/>
      <c r="I98" s="511"/>
      <c r="J98" s="511"/>
      <c r="K98" s="511"/>
      <c r="L98" s="511"/>
      <c r="M98" s="512"/>
      <c r="N98" s="2745"/>
      <c r="O98" s="2745"/>
      <c r="P98" s="2753"/>
      <c r="Q98" s="2730"/>
      <c r="R98" s="2716"/>
      <c r="S98" s="2716"/>
      <c r="T98" s="2716"/>
      <c r="U98" s="2716"/>
      <c r="V98" s="2716"/>
      <c r="W98" s="2716"/>
      <c r="X98" s="2716"/>
      <c r="Y98" s="2716"/>
      <c r="Z98" s="2716"/>
      <c r="AA98" s="2716"/>
      <c r="AB98" s="2716"/>
      <c r="AC98" s="2716"/>
    </row>
    <row r="99" spans="1:29" s="422" customFormat="1" ht="15" thickTop="1">
      <c r="A99" s="542"/>
      <c r="B99" s="487">
        <f>B35</f>
        <v>111</v>
      </c>
      <c r="C99" s="498"/>
      <c r="D99" s="498"/>
      <c r="E99" s="498"/>
      <c r="F99" s="498"/>
      <c r="G99" s="503"/>
      <c r="H99" s="504"/>
      <c r="I99" s="504"/>
      <c r="J99" s="504"/>
      <c r="K99" s="504"/>
      <c r="L99" s="505"/>
      <c r="M99" s="506"/>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2"/>
      <c r="B100" s="484"/>
      <c r="C100" s="509"/>
      <c r="D100" s="485"/>
      <c r="E100" s="485"/>
      <c r="F100" s="485"/>
      <c r="G100" s="509"/>
      <c r="H100" s="511"/>
      <c r="I100" s="511"/>
      <c r="J100" s="511"/>
      <c r="K100" s="511"/>
      <c r="L100" s="511"/>
      <c r="M100" s="512"/>
      <c r="N100" s="2746"/>
      <c r="O100" s="2746"/>
      <c r="P100" s="2754"/>
      <c r="Q100" s="2737"/>
      <c r="R100" s="2738"/>
      <c r="S100" s="2738"/>
      <c r="T100" s="2738"/>
      <c r="U100" s="2738"/>
      <c r="V100" s="2738"/>
      <c r="W100" s="2738"/>
      <c r="X100" s="2738"/>
      <c r="Y100" s="2738"/>
      <c r="Z100" s="2738"/>
      <c r="AA100" s="2738"/>
      <c r="AB100" s="2738"/>
      <c r="AC100" s="2738"/>
    </row>
    <row r="101" spans="1:29" ht="15" thickTop="1">
      <c r="A101" s="548"/>
      <c r="B101" s="487">
        <f>B36</f>
        <v>111</v>
      </c>
      <c r="C101" s="503"/>
      <c r="D101" s="503"/>
      <c r="E101" s="503"/>
      <c r="F101" s="503"/>
      <c r="G101" s="503"/>
      <c r="H101" s="504"/>
      <c r="I101" s="504"/>
      <c r="J101" s="504"/>
      <c r="K101" s="504"/>
      <c r="L101" s="505"/>
      <c r="M101" s="506"/>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509"/>
      <c r="D102" s="509"/>
      <c r="E102" s="509"/>
      <c r="F102" s="509"/>
      <c r="G102" s="509"/>
      <c r="H102" s="511"/>
      <c r="I102" s="511"/>
      <c r="J102" s="511"/>
      <c r="K102" s="511"/>
      <c r="L102" s="511"/>
      <c r="M102" s="512"/>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3332</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10"/>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29" ht="15">
      <c r="A5" s="358"/>
      <c r="B5" s="359"/>
      <c r="C5" s="3714" t="s">
        <v>1670</v>
      </c>
      <c r="D5" s="3715"/>
      <c r="E5" s="3747" t="s">
        <v>1671</v>
      </c>
      <c r="F5" s="3748"/>
      <c r="G5" s="3714" t="s">
        <v>1672</v>
      </c>
      <c r="H5" s="3715"/>
      <c r="I5" s="3714" t="s">
        <v>1673</v>
      </c>
      <c r="J5" s="3715"/>
      <c r="K5" s="559"/>
      <c r="L5" s="2706"/>
      <c r="M5" s="2707"/>
      <c r="N5" s="2707"/>
      <c r="O5" s="2707"/>
      <c r="P5" s="3729"/>
      <c r="Q5" s="3730"/>
      <c r="R5" s="3710"/>
      <c r="S5" s="3711"/>
      <c r="T5" s="3710"/>
      <c r="U5" s="3711"/>
      <c r="V5" s="3735"/>
      <c r="W5" s="3735"/>
      <c r="X5" s="1352"/>
      <c r="Y5" s="3710"/>
      <c r="Z5" s="3711"/>
      <c r="AA5" s="3704"/>
      <c r="AB5" s="3704"/>
      <c r="AC5" s="3704"/>
    </row>
    <row r="6" spans="1:29" ht="15.75" thickBot="1">
      <c r="A6" s="360"/>
      <c r="B6" s="361"/>
      <c r="C6" s="3758" t="s">
        <v>1674</v>
      </c>
      <c r="D6" s="3717"/>
      <c r="E6" s="3759" t="s">
        <v>1674</v>
      </c>
      <c r="F6" s="3721"/>
      <c r="G6" s="3758" t="s">
        <v>1674</v>
      </c>
      <c r="H6" s="3717"/>
      <c r="I6" s="3758" t="s">
        <v>1674</v>
      </c>
      <c r="J6" s="3717"/>
      <c r="K6" s="559" t="s">
        <v>1675</v>
      </c>
      <c r="L6" s="2706"/>
      <c r="M6" s="2707"/>
      <c r="N6" s="2707"/>
      <c r="O6" s="2707"/>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c r="F7" s="367">
        <f>SUMIF(46:46,YEAR(E7)&amp;"-"&amp;MONTH(E7),47:47)</f>
        <v>0</v>
      </c>
      <c r="G7" s="1968"/>
      <c r="H7" s="365">
        <f>SUMIF(46:46,YEAR(G7)&amp;"-"&amp;MONTH(G7),47:47)</f>
        <v>0</v>
      </c>
      <c r="I7" s="366"/>
      <c r="J7" s="365">
        <f>SUMIF(46:46,YEAR(I7)&amp;"-"&amp;MONTH(I7),47:47)</f>
        <v>0</v>
      </c>
      <c r="K7" s="560"/>
      <c r="L7" s="2708"/>
      <c r="M7" s="2709"/>
      <c r="N7" s="2709"/>
      <c r="O7" s="2709"/>
      <c r="P7" s="3706" t="s">
        <v>1677</v>
      </c>
      <c r="Q7" s="3736"/>
      <c r="R7" s="701" t="s">
        <v>14</v>
      </c>
      <c r="S7" s="702">
        <f t="shared" ref="S7:S14" si="0">F7</f>
        <v>0</v>
      </c>
      <c r="T7" s="701" t="s">
        <v>14</v>
      </c>
      <c r="U7" s="702">
        <f t="shared" ref="U7:U14" si="1">H7</f>
        <v>0</v>
      </c>
      <c r="V7" s="701" t="s">
        <v>14</v>
      </c>
      <c r="W7" s="702">
        <f t="shared" ref="W7:W14" si="2">J7</f>
        <v>0</v>
      </c>
      <c r="X7" s="703"/>
      <c r="Y7" s="3706" t="s">
        <v>1677</v>
      </c>
      <c r="Z7" s="3707"/>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08"/>
      <c r="M9" s="2709"/>
      <c r="N9" s="2709"/>
      <c r="O9" s="2763"/>
      <c r="P9" s="3722" t="s">
        <v>1683</v>
      </c>
      <c r="Q9" s="1340" t="str">
        <f t="shared" ref="Q9:Q14" si="6">B9</f>
        <v>用途</v>
      </c>
      <c r="R9" s="701" t="s">
        <v>14</v>
      </c>
      <c r="S9" s="702">
        <f t="shared" si="0"/>
        <v>100</v>
      </c>
      <c r="T9" s="701" t="s">
        <v>14</v>
      </c>
      <c r="U9" s="702">
        <f t="shared" si="1"/>
        <v>100</v>
      </c>
      <c r="V9" s="701" t="s">
        <v>14</v>
      </c>
      <c r="W9" s="702">
        <f t="shared" si="2"/>
        <v>100</v>
      </c>
      <c r="X9" s="703"/>
      <c r="Y9" s="3679" t="s">
        <v>1684</v>
      </c>
      <c r="Z9" s="52" t="str">
        <f t="shared" ref="Z9:Z14" si="7">Q9</f>
        <v>用途</v>
      </c>
      <c r="AA9" s="704">
        <f t="shared" si="3"/>
        <v>1</v>
      </c>
      <c r="AB9" s="704">
        <f t="shared" si="4"/>
        <v>1</v>
      </c>
      <c r="AC9" s="704">
        <f t="shared" si="5"/>
        <v>1</v>
      </c>
    </row>
    <row r="10" spans="1:29" s="378" customFormat="1" ht="27">
      <c r="A10" s="374"/>
      <c r="B10" s="375" t="s">
        <v>1685</v>
      </c>
      <c r="C10" s="3425"/>
      <c r="D10" s="127">
        <v>100</v>
      </c>
      <c r="E10" s="3425"/>
      <c r="F10" s="376">
        <f>SUMIF(53:53,E10,54:54)-SUMIF(53:53,C10,54:54)+100</f>
        <v>100</v>
      </c>
      <c r="G10" s="3425"/>
      <c r="H10" s="127">
        <f>SUMIF(53:53,G10,54:54)-SUMIF(53:53,C10,54:54)+100</f>
        <v>100</v>
      </c>
      <c r="I10" s="3425"/>
      <c r="J10" s="127">
        <f>SUMIF(53:53,I10,54:54)-SUMIF(53:53,C10,54:54)+100</f>
        <v>100</v>
      </c>
      <c r="K10" s="560"/>
      <c r="L10" s="2710"/>
      <c r="M10" s="2711"/>
      <c r="N10" s="2711"/>
      <c r="O10" s="2764"/>
      <c r="P10" s="3722"/>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2"/>
      <c r="M11" s="2707"/>
      <c r="N11" s="2707"/>
      <c r="O11" s="2765"/>
      <c r="P11" s="3722"/>
      <c r="Q11" s="1340">
        <f t="shared" si="6"/>
        <v>111</v>
      </c>
      <c r="R11" s="701" t="s">
        <v>14</v>
      </c>
      <c r="S11" s="702">
        <f t="shared" si="0"/>
        <v>100</v>
      </c>
      <c r="T11" s="701" t="s">
        <v>14</v>
      </c>
      <c r="U11" s="702">
        <f t="shared" si="1"/>
        <v>100</v>
      </c>
      <c r="V11" s="701" t="s">
        <v>14</v>
      </c>
      <c r="W11" s="702">
        <f t="shared" si="2"/>
        <v>100</v>
      </c>
      <c r="X11" s="703"/>
      <c r="Y11" s="3679"/>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08"/>
      <c r="M12" s="2709"/>
      <c r="N12" s="2709"/>
      <c r="O12" s="2763"/>
      <c r="P12" s="3722"/>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2"/>
      <c r="L13" s="2713"/>
      <c r="M13" s="2707"/>
      <c r="N13" s="2707"/>
      <c r="O13" s="2765"/>
      <c r="P13" s="3722"/>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
      <c r="A14" s="391" t="s">
        <v>1687</v>
      </c>
      <c r="B14" s="61" t="s">
        <v>1830</v>
      </c>
      <c r="C14" s="1965" t="str">
        <f>IF(B1="工业",估价对象房地状况!G4,估价对象房地状况!C6)</f>
        <v>较差</v>
      </c>
      <c r="D14" s="392">
        <v>100</v>
      </c>
      <c r="E14" s="393"/>
      <c r="F14" s="394">
        <f>SUMIF(61:61,E15,62:62)-SUMIF(61:61,C15,62:62)+100</f>
        <v>100</v>
      </c>
      <c r="G14" s="395"/>
      <c r="H14" s="392">
        <f>SUMIF(61:61,G15,62:62)-SUMIF(61:61,C15,62:62)+100</f>
        <v>100</v>
      </c>
      <c r="I14" s="393"/>
      <c r="J14" s="392">
        <f>SUMIF(61:61,I15,62:62)-SUMIF(61:61,C15,62:62)+100</f>
        <v>100</v>
      </c>
      <c r="K14" s="563"/>
      <c r="L14" s="2713"/>
      <c r="M14" s="2707"/>
      <c r="N14" s="2707"/>
      <c r="O14" s="2765"/>
      <c r="P14" s="3737" t="s">
        <v>1688</v>
      </c>
      <c r="Q14" s="1349" t="str">
        <f t="shared" si="6"/>
        <v>交通便捷度</v>
      </c>
      <c r="R14" s="705" t="s">
        <v>14</v>
      </c>
      <c r="S14" s="706">
        <f t="shared" si="0"/>
        <v>100</v>
      </c>
      <c r="T14" s="705" t="s">
        <v>14</v>
      </c>
      <c r="U14" s="706">
        <f t="shared" si="1"/>
        <v>100</v>
      </c>
      <c r="V14" s="705" t="s">
        <v>14</v>
      </c>
      <c r="W14" s="706">
        <f t="shared" si="2"/>
        <v>100</v>
      </c>
      <c r="X14" s="1352"/>
      <c r="Y14" s="3737"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3"/>
      <c r="M15" s="2707"/>
      <c r="N15" s="2707"/>
      <c r="O15" s="2765"/>
      <c r="P15" s="3738"/>
      <c r="Q15" s="1349"/>
      <c r="R15" s="705"/>
      <c r="S15" s="706"/>
      <c r="T15" s="705"/>
      <c r="U15" s="706"/>
      <c r="V15" s="705"/>
      <c r="W15" s="706"/>
      <c r="X15" s="1352"/>
      <c r="Y15" s="3738"/>
      <c r="Z15" s="1353"/>
      <c r="AA15" s="1350">
        <v>1</v>
      </c>
      <c r="AB15" s="1350">
        <v>1</v>
      </c>
      <c r="AC15" s="1350">
        <v>1</v>
      </c>
    </row>
    <row r="16" spans="1:29" ht="15">
      <c r="A16" s="379"/>
      <c r="B16" s="402" t="s">
        <v>1809</v>
      </c>
      <c r="C16" s="1896" t="str">
        <f>IF(B1="工业",估价对象房地状况!G5,估价对象房地状况!C7)</f>
        <v>较差</v>
      </c>
      <c r="D16" s="406">
        <v>100</v>
      </c>
      <c r="E16" s="408"/>
      <c r="F16" s="409">
        <f>SUMIF(63:63,E17,64:64)-SUMIF(63:63,C17,64:64)+100</f>
        <v>100</v>
      </c>
      <c r="G16" s="410"/>
      <c r="H16" s="406">
        <f>SUMIF(63:63,G17,64:64)-SUMIF(63:63,C17,64:64)+100</f>
        <v>100</v>
      </c>
      <c r="I16" s="408"/>
      <c r="J16" s="406">
        <f>SUMIF(63:63,I17,64:64)-SUMIF(63:63,C17,64:64)+100</f>
        <v>100</v>
      </c>
      <c r="K16" s="563"/>
      <c r="L16" s="2713"/>
      <c r="M16" s="2707"/>
      <c r="N16" s="2707"/>
      <c r="O16" s="2765"/>
      <c r="P16" s="3738"/>
      <c r="Q16" s="1349" t="str">
        <f>B16</f>
        <v>公共配套设施</v>
      </c>
      <c r="R16" s="705" t="s">
        <v>14</v>
      </c>
      <c r="S16" s="706">
        <f>F16</f>
        <v>100</v>
      </c>
      <c r="T16" s="705" t="s">
        <v>14</v>
      </c>
      <c r="U16" s="706">
        <f>H16</f>
        <v>100</v>
      </c>
      <c r="V16" s="705" t="s">
        <v>14</v>
      </c>
      <c r="W16" s="706">
        <f>J16</f>
        <v>100</v>
      </c>
      <c r="X16" s="1352"/>
      <c r="Y16" s="3738"/>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3"/>
      <c r="M17" s="2707"/>
      <c r="N17" s="2707"/>
      <c r="O17" s="2765"/>
      <c r="P17" s="3738"/>
      <c r="Q17" s="1349"/>
      <c r="R17" s="705"/>
      <c r="S17" s="706"/>
      <c r="T17" s="705"/>
      <c r="U17" s="706"/>
      <c r="V17" s="705"/>
      <c r="W17" s="706"/>
      <c r="X17" s="1352"/>
      <c r="Y17" s="3738"/>
      <c r="Z17" s="1353"/>
      <c r="AA17" s="1350">
        <v>1</v>
      </c>
      <c r="AB17" s="1350">
        <v>1</v>
      </c>
      <c r="AC17" s="1350">
        <v>1</v>
      </c>
    </row>
    <row r="18" spans="1:29" ht="15">
      <c r="A18" s="379"/>
      <c r="B18" s="1131" t="s">
        <v>1810</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3"/>
      <c r="M18" s="2707"/>
      <c r="N18" s="2707"/>
      <c r="O18" s="2765"/>
      <c r="P18" s="3738"/>
      <c r="Q18" s="1349" t="str">
        <f>B18</f>
        <v>基础设施水平</v>
      </c>
      <c r="R18" s="705" t="s">
        <v>14</v>
      </c>
      <c r="S18" s="706">
        <f>F18</f>
        <v>100</v>
      </c>
      <c r="T18" s="705" t="s">
        <v>14</v>
      </c>
      <c r="U18" s="706">
        <f>H18</f>
        <v>100</v>
      </c>
      <c r="V18" s="705" t="s">
        <v>14</v>
      </c>
      <c r="W18" s="706">
        <f>J18</f>
        <v>100</v>
      </c>
      <c r="X18" s="1352"/>
      <c r="Y18" s="3738"/>
      <c r="Z18" s="1353" t="str">
        <f>Q18</f>
        <v>基础设施水平</v>
      </c>
      <c r="AA18" s="1350">
        <f t="shared" ref="AA18" si="8">D18/F18</f>
        <v>1</v>
      </c>
      <c r="AB18" s="1350">
        <f t="shared" ref="AB18" si="9">D18/H18</f>
        <v>1</v>
      </c>
      <c r="AC18" s="1350">
        <f t="shared" ref="AC18" si="10">D18/J18</f>
        <v>1</v>
      </c>
    </row>
    <row r="19" spans="1:29" ht="15">
      <c r="A19" s="379"/>
      <c r="B19" s="1131"/>
      <c r="C19" s="1897"/>
      <c r="D19" s="401"/>
      <c r="E19" s="1897"/>
      <c r="F19" s="404"/>
      <c r="G19" s="1897"/>
      <c r="H19" s="399"/>
      <c r="I19" s="398"/>
      <c r="J19" s="399"/>
      <c r="K19" s="1130"/>
      <c r="L19" s="2713"/>
      <c r="M19" s="2707"/>
      <c r="N19" s="2707"/>
      <c r="O19" s="2765"/>
      <c r="P19" s="3738"/>
      <c r="Q19" s="1349"/>
      <c r="R19" s="705"/>
      <c r="S19" s="706"/>
      <c r="T19" s="705"/>
      <c r="U19" s="706"/>
      <c r="V19" s="705"/>
      <c r="W19" s="706"/>
      <c r="X19" s="1352"/>
      <c r="Y19" s="3738"/>
      <c r="Z19" s="1353"/>
      <c r="AA19" s="1350">
        <v>1</v>
      </c>
      <c r="AB19" s="1350">
        <v>1</v>
      </c>
      <c r="AC19" s="1350">
        <v>1</v>
      </c>
    </row>
    <row r="20" spans="1:29" ht="15">
      <c r="A20" s="379"/>
      <c r="B20" s="402" t="s">
        <v>1831</v>
      </c>
      <c r="C20" s="1896"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3"/>
      <c r="M20" s="2707"/>
      <c r="N20" s="2707"/>
      <c r="O20" s="2765"/>
      <c r="P20" s="3738"/>
      <c r="Q20" s="1349" t="str">
        <f>B20</f>
        <v>自然及人文环境</v>
      </c>
      <c r="R20" s="705" t="s">
        <v>14</v>
      </c>
      <c r="S20" s="706">
        <f>F20</f>
        <v>100</v>
      </c>
      <c r="T20" s="705" t="s">
        <v>14</v>
      </c>
      <c r="U20" s="706">
        <f>H20</f>
        <v>100</v>
      </c>
      <c r="V20" s="705" t="s">
        <v>14</v>
      </c>
      <c r="W20" s="706">
        <f>J20</f>
        <v>100</v>
      </c>
      <c r="X20" s="1352"/>
      <c r="Y20" s="3738"/>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3"/>
      <c r="M21" s="2707"/>
      <c r="N21" s="2707"/>
      <c r="O21" s="2765"/>
      <c r="P21" s="3738"/>
      <c r="Q21" s="1349"/>
      <c r="R21" s="705"/>
      <c r="S21" s="706"/>
      <c r="T21" s="705"/>
      <c r="U21" s="706"/>
      <c r="V21" s="705"/>
      <c r="W21" s="706"/>
      <c r="X21" s="1352"/>
      <c r="Y21" s="3738"/>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3"/>
      <c r="M22" s="2707"/>
      <c r="N22" s="2707"/>
      <c r="O22" s="2765"/>
      <c r="P22" s="3738"/>
      <c r="Q22" s="1349" t="str">
        <f>B22</f>
        <v>楼层</v>
      </c>
      <c r="R22" s="705" t="s">
        <v>14</v>
      </c>
      <c r="S22" s="706">
        <f>F22</f>
        <v>100</v>
      </c>
      <c r="T22" s="705" t="s">
        <v>14</v>
      </c>
      <c r="U22" s="706">
        <f>H22</f>
        <v>100</v>
      </c>
      <c r="V22" s="705" t="s">
        <v>14</v>
      </c>
      <c r="W22" s="706">
        <f>J22</f>
        <v>100</v>
      </c>
      <c r="X22" s="1352"/>
      <c r="Y22" s="3738"/>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3"/>
      <c r="M23" s="2707"/>
      <c r="N23" s="2707"/>
      <c r="O23" s="2765"/>
      <c r="P23" s="3738"/>
      <c r="Q23" s="1349">
        <f>B23</f>
        <v>111</v>
      </c>
      <c r="R23" s="705" t="s">
        <v>14</v>
      </c>
      <c r="S23" s="706">
        <f>F23</f>
        <v>100</v>
      </c>
      <c r="T23" s="705" t="s">
        <v>14</v>
      </c>
      <c r="U23" s="706">
        <f>H23</f>
        <v>100</v>
      </c>
      <c r="V23" s="705" t="s">
        <v>14</v>
      </c>
      <c r="W23" s="706">
        <f>J23</f>
        <v>100</v>
      </c>
      <c r="X23" s="1352"/>
      <c r="Y23" s="3738"/>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3"/>
      <c r="M24" s="2707"/>
      <c r="N24" s="2707"/>
      <c r="O24" s="2765"/>
      <c r="P24" s="3738"/>
      <c r="Q24" s="1349">
        <f t="shared" ref="Q24:Q34" si="11">B24</f>
        <v>111</v>
      </c>
      <c r="R24" s="705" t="s">
        <v>14</v>
      </c>
      <c r="S24" s="706">
        <f>F24</f>
        <v>100</v>
      </c>
      <c r="T24" s="705" t="s">
        <v>14</v>
      </c>
      <c r="U24" s="706">
        <f>H24</f>
        <v>100</v>
      </c>
      <c r="V24" s="705" t="s">
        <v>14</v>
      </c>
      <c r="W24" s="706">
        <f>J24</f>
        <v>100</v>
      </c>
      <c r="X24" s="1352"/>
      <c r="Y24" s="3738"/>
      <c r="Z24" s="1353">
        <f>Q24</f>
        <v>111</v>
      </c>
      <c r="AA24" s="1350">
        <f t="shared" si="3"/>
        <v>1</v>
      </c>
      <c r="AB24" s="1350">
        <f t="shared" si="4"/>
        <v>1</v>
      </c>
      <c r="AC24" s="1350">
        <f t="shared" si="5"/>
        <v>1</v>
      </c>
    </row>
    <row r="25" spans="1:29" s="108" customFormat="1" ht="15.75" thickBot="1">
      <c r="A25" s="382"/>
      <c r="B25" s="1889">
        <v>111</v>
      </c>
      <c r="C25" s="1970"/>
      <c r="D25" s="613">
        <v>100</v>
      </c>
      <c r="E25" s="1970"/>
      <c r="F25" s="614">
        <f>SUMIF(75:75,E25,76:76)-SUMIF(75:75,C25,76:76)+100</f>
        <v>100</v>
      </c>
      <c r="G25" s="1970"/>
      <c r="H25" s="613">
        <f>SUMIF(75:75,G25,76:76)-SUMIF(75:75,C25,76:76)+100</f>
        <v>100</v>
      </c>
      <c r="I25" s="1970"/>
      <c r="J25" s="613">
        <f>SUMIF(75:75,I25,76:76)-SUMIF(75:75,C25,76:76)+100</f>
        <v>100</v>
      </c>
      <c r="K25" s="562"/>
      <c r="L25" s="2708"/>
      <c r="M25" s="2709"/>
      <c r="N25" s="2709"/>
      <c r="O25" s="2763"/>
      <c r="P25" s="3738"/>
      <c r="Q25" s="1340">
        <f t="shared" si="11"/>
        <v>111</v>
      </c>
      <c r="R25" s="701" t="s">
        <v>14</v>
      </c>
      <c r="S25" s="702">
        <f>F25</f>
        <v>100</v>
      </c>
      <c r="T25" s="701" t="s">
        <v>14</v>
      </c>
      <c r="U25" s="702">
        <f>H25</f>
        <v>100</v>
      </c>
      <c r="V25" s="701" t="s">
        <v>14</v>
      </c>
      <c r="W25" s="702">
        <f>J25</f>
        <v>100</v>
      </c>
      <c r="X25" s="703"/>
      <c r="Y25" s="3738"/>
      <c r="Z25" s="52">
        <f>Q25</f>
        <v>111</v>
      </c>
      <c r="AA25" s="1350">
        <f>D25/F25</f>
        <v>1</v>
      </c>
      <c r="AB25" s="1350">
        <f>D25/H25</f>
        <v>1</v>
      </c>
      <c r="AC25" s="1350">
        <f>D25/J25</f>
        <v>1</v>
      </c>
    </row>
    <row r="26" spans="1:29" ht="28.5">
      <c r="A26" s="417" t="s">
        <v>1691</v>
      </c>
      <c r="B26" s="63" t="s">
        <v>1835</v>
      </c>
      <c r="C26" s="1961"/>
      <c r="D26" s="418">
        <v>100</v>
      </c>
      <c r="E26" s="1961"/>
      <c r="F26" s="615">
        <f>SUMIF(77:77,E26,78:78)-SUMIF(77:77,C26,78:78)+100</f>
        <v>100</v>
      </c>
      <c r="G26" s="1961"/>
      <c r="H26" s="418">
        <f>SUMIF(77:77,G26,78:78)-SUMIF(77:77,C26,78:78)+100</f>
        <v>100</v>
      </c>
      <c r="I26" s="1961"/>
      <c r="J26" s="418">
        <f>SUMIF(77:77,I26,78:78)-SUMIF(77:77,C26,78:78)+100</f>
        <v>100</v>
      </c>
      <c r="K26" s="561"/>
      <c r="L26" s="2713"/>
      <c r="M26" s="2707"/>
      <c r="N26" s="2707"/>
      <c r="O26" s="2765"/>
      <c r="P26" s="3739" t="s">
        <v>1693</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40"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2"/>
      <c r="M27" s="2714"/>
      <c r="N27" s="2714"/>
      <c r="O27" s="2766"/>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3"/>
      <c r="M28" s="2707"/>
      <c r="N28" s="2707"/>
      <c r="O28" s="2765"/>
      <c r="P28" s="3740"/>
      <c r="Q28" s="1349" t="str">
        <f t="shared" si="11"/>
        <v>物业等级</v>
      </c>
      <c r="R28" s="705" t="s">
        <v>14</v>
      </c>
      <c r="S28" s="706">
        <f t="shared" si="12"/>
        <v>100</v>
      </c>
      <c r="T28" s="705" t="s">
        <v>14</v>
      </c>
      <c r="U28" s="706">
        <f t="shared" si="13"/>
        <v>100</v>
      </c>
      <c r="V28" s="705" t="s">
        <v>14</v>
      </c>
      <c r="W28" s="706">
        <f t="shared" si="14"/>
        <v>100</v>
      </c>
      <c r="X28" s="1352"/>
      <c r="Y28" s="3740"/>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3"/>
      <c r="M29" s="2707"/>
      <c r="N29" s="2707"/>
      <c r="O29" s="2765"/>
      <c r="P29" s="3740"/>
      <c r="Q29" s="1349" t="str">
        <f t="shared" si="11"/>
        <v>有无电梯</v>
      </c>
      <c r="R29" s="705" t="s">
        <v>14</v>
      </c>
      <c r="S29" s="706">
        <f t="shared" si="12"/>
        <v>100</v>
      </c>
      <c r="T29" s="705" t="s">
        <v>14</v>
      </c>
      <c r="U29" s="706">
        <f t="shared" si="13"/>
        <v>100</v>
      </c>
      <c r="V29" s="705" t="s">
        <v>14</v>
      </c>
      <c r="W29" s="706">
        <f t="shared" si="14"/>
        <v>100</v>
      </c>
      <c r="X29" s="1352"/>
      <c r="Y29" s="3740"/>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3"/>
      <c r="M30" s="2707"/>
      <c r="N30" s="2707"/>
      <c r="O30" s="2765"/>
      <c r="P30" s="3740"/>
      <c r="Q30" s="1349" t="str">
        <f t="shared" si="11"/>
        <v>建筑面积</v>
      </c>
      <c r="R30" s="705" t="s">
        <v>14</v>
      </c>
      <c r="S30" s="706" t="e">
        <f t="shared" si="12"/>
        <v>#N/A</v>
      </c>
      <c r="T30" s="705" t="s">
        <v>14</v>
      </c>
      <c r="U30" s="706" t="e">
        <f t="shared" si="13"/>
        <v>#N/A</v>
      </c>
      <c r="V30" s="705" t="s">
        <v>14</v>
      </c>
      <c r="W30" s="706" t="e">
        <f t="shared" si="14"/>
        <v>#N/A</v>
      </c>
      <c r="X30" s="1352"/>
      <c r="Y30" s="3740"/>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08"/>
      <c r="M31" s="2709"/>
      <c r="N31" s="2709"/>
      <c r="O31" s="2763"/>
      <c r="P31" s="3740"/>
      <c r="Q31" s="1340"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3"/>
      <c r="M32" s="2707"/>
      <c r="N32" s="2707"/>
      <c r="O32" s="2765"/>
      <c r="P32" s="3740" t="s">
        <v>1693</v>
      </c>
      <c r="Q32" s="1349">
        <f t="shared" si="11"/>
        <v>111</v>
      </c>
      <c r="R32" s="705" t="s">
        <v>14</v>
      </c>
      <c r="S32" s="706">
        <f t="shared" si="12"/>
        <v>100</v>
      </c>
      <c r="T32" s="705" t="s">
        <v>14</v>
      </c>
      <c r="U32" s="706">
        <f t="shared" si="13"/>
        <v>100</v>
      </c>
      <c r="V32" s="705" t="s">
        <v>14</v>
      </c>
      <c r="W32" s="706">
        <f t="shared" si="14"/>
        <v>100</v>
      </c>
      <c r="X32" s="1352"/>
      <c r="Y32" s="3740"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3"/>
      <c r="M33" s="2707"/>
      <c r="N33" s="2707"/>
      <c r="O33" s="2765"/>
      <c r="P33" s="3740"/>
      <c r="Q33" s="1349">
        <f t="shared" si="11"/>
        <v>111</v>
      </c>
      <c r="R33" s="705" t="s">
        <v>14</v>
      </c>
      <c r="S33" s="706">
        <f t="shared" si="12"/>
        <v>100</v>
      </c>
      <c r="T33" s="705" t="s">
        <v>14</v>
      </c>
      <c r="U33" s="706">
        <f t="shared" si="13"/>
        <v>100</v>
      </c>
      <c r="V33" s="705" t="s">
        <v>14</v>
      </c>
      <c r="W33" s="706">
        <f t="shared" si="14"/>
        <v>100</v>
      </c>
      <c r="X33" s="1352"/>
      <c r="Y33" s="3740"/>
      <c r="Z33" s="1353">
        <f t="shared" si="15"/>
        <v>111</v>
      </c>
      <c r="AA33" s="1350">
        <f t="shared" si="3"/>
        <v>1</v>
      </c>
      <c r="AB33" s="1350">
        <f t="shared" si="4"/>
        <v>1</v>
      </c>
      <c r="AC33" s="1350">
        <f t="shared" si="5"/>
        <v>1</v>
      </c>
    </row>
    <row r="34" spans="1:30" ht="15.75" thickBot="1">
      <c r="A34" s="429"/>
      <c r="B34" s="1891">
        <v>111</v>
      </c>
      <c r="C34" s="388"/>
      <c r="D34" s="389">
        <v>100</v>
      </c>
      <c r="E34" s="1969"/>
      <c r="F34" s="390">
        <f>SUMIF(95:95,E34,96:96)-SUMIF(95:95,C34,96:96)+100</f>
        <v>100</v>
      </c>
      <c r="G34" s="1969"/>
      <c r="H34" s="389">
        <f>SUMIF(95:95,G34,96:96)-SUMIF(95:95,C34,96:96)+100</f>
        <v>100</v>
      </c>
      <c r="I34" s="1969"/>
      <c r="J34" s="389">
        <f>SUMIF(95:95,I34,96:96)-SUMIF(95:95,C34,96:96)+100</f>
        <v>100</v>
      </c>
      <c r="K34" s="562"/>
      <c r="L34" s="2713"/>
      <c r="M34" s="2707"/>
      <c r="N34" s="2707"/>
      <c r="O34" s="2765"/>
      <c r="P34" s="3740"/>
      <c r="Q34" s="1349">
        <f t="shared" si="11"/>
        <v>111</v>
      </c>
      <c r="R34" s="705" t="s">
        <v>14</v>
      </c>
      <c r="S34" s="706">
        <f t="shared" si="12"/>
        <v>100</v>
      </c>
      <c r="T34" s="705" t="s">
        <v>14</v>
      </c>
      <c r="U34" s="706">
        <f t="shared" si="13"/>
        <v>100</v>
      </c>
      <c r="V34" s="705" t="s">
        <v>14</v>
      </c>
      <c r="W34" s="706">
        <f t="shared" si="14"/>
        <v>100</v>
      </c>
      <c r="X34" s="1352"/>
      <c r="Y34" s="3740"/>
      <c r="Z34" s="1353">
        <f t="shared" si="15"/>
        <v>111</v>
      </c>
      <c r="AA34" s="1350">
        <f t="shared" si="3"/>
        <v>1</v>
      </c>
      <c r="AB34" s="1350">
        <f t="shared" si="4"/>
        <v>1</v>
      </c>
      <c r="AC34" s="1350">
        <f t="shared" si="5"/>
        <v>1</v>
      </c>
    </row>
    <row r="35" spans="1:30" ht="15">
      <c r="A35" s="430" t="s">
        <v>1705</v>
      </c>
      <c r="B35" s="431"/>
      <c r="C35" s="1154" t="s">
        <v>0</v>
      </c>
      <c r="D35" s="1155"/>
      <c r="E35" s="1156"/>
      <c r="F35" s="1157"/>
      <c r="G35" s="1158"/>
      <c r="H35" s="1159"/>
      <c r="I35" s="1156"/>
      <c r="J35" s="1159"/>
      <c r="K35" s="714"/>
      <c r="L35" s="2715"/>
      <c r="M35" s="2716"/>
      <c r="N35" s="2707"/>
      <c r="O35" s="2716"/>
      <c r="P35" s="3722" t="str">
        <f>A35</f>
        <v>成交单价（元/平方米）</v>
      </c>
      <c r="Q35" s="3722"/>
      <c r="R35" s="3761">
        <f>E35</f>
        <v>0</v>
      </c>
      <c r="S35" s="3761"/>
      <c r="T35" s="3761">
        <f>G35</f>
        <v>0</v>
      </c>
      <c r="U35" s="3761"/>
      <c r="V35" s="3761">
        <f>I35</f>
        <v>0</v>
      </c>
      <c r="W35" s="3761"/>
      <c r="X35" s="690"/>
      <c r="Y35" s="712"/>
      <c r="Z35" s="690"/>
      <c r="AA35" s="690"/>
      <c r="AB35" s="690"/>
      <c r="AC35" s="690"/>
    </row>
    <row r="36" spans="1:30" ht="15.75" thickBot="1">
      <c r="A36" s="437" t="s">
        <v>1790</v>
      </c>
      <c r="B36" s="438"/>
      <c r="C36" s="1160" t="e">
        <f>R37</f>
        <v>#DIV/0!</v>
      </c>
      <c r="D36" s="2310" t="s">
        <v>2134</v>
      </c>
      <c r="E36" s="1161" t="e">
        <f>R36</f>
        <v>#DIV/0!</v>
      </c>
      <c r="F36" s="2311"/>
      <c r="G36" s="1160" t="e">
        <f>T36</f>
        <v>#DIV/0!</v>
      </c>
      <c r="H36" s="2311"/>
      <c r="I36" s="1161" t="e">
        <f>V36</f>
        <v>#DIV/0!</v>
      </c>
      <c r="J36" s="2311"/>
      <c r="K36" s="2313">
        <f>F36+H36+J36</f>
        <v>0</v>
      </c>
      <c r="L36" s="2715"/>
      <c r="M36" s="2716"/>
      <c r="N36" s="2707"/>
      <c r="O36" s="2716"/>
      <c r="P36" s="3722" t="str">
        <f>A36</f>
        <v>比较价值（元/平方米）</v>
      </c>
      <c r="Q36" s="3722"/>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15"/>
      <c r="M37" s="2716"/>
      <c r="N37" s="2716"/>
      <c r="O37" s="2716"/>
      <c r="P37" s="3742" t="str">
        <f>A37</f>
        <v>估价对象XX用房的比较价值（楼面单价，元/平方米）</v>
      </c>
      <c r="Q37" s="3743"/>
      <c r="R37" s="3809" t="e">
        <f>IF(F1="售价",ROUND(IF(D36="简单平均",AVERAGE(R36:W36),R36*F36+T36*H36+V36*J36),0),ROUND(IF(D36="简单平均",AVERAGE(R36:V36),R36*F36+T36*H36+V36*J36),1))</f>
        <v>#DIV/0!</v>
      </c>
      <c r="S37" s="3809"/>
      <c r="T37" s="3809"/>
      <c r="U37" s="3809"/>
      <c r="V37" s="3809"/>
      <c r="W37" s="3809"/>
      <c r="X37" s="690"/>
      <c r="Y37" s="690"/>
      <c r="Z37" s="690"/>
      <c r="AA37" s="690"/>
      <c r="AB37" s="690"/>
      <c r="AC37" s="690"/>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51" customFormat="1" ht="13.5" customHeight="1">
      <c r="A42" s="2719"/>
      <c r="B42" s="2719"/>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51"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4" t="s">
        <v>1795</v>
      </c>
      <c r="B45" s="690"/>
      <c r="C45" s="695"/>
      <c r="D45" s="695"/>
      <c r="E45" s="695"/>
      <c r="F45" s="696"/>
      <c r="G45" s="696"/>
      <c r="H45" s="695"/>
      <c r="I45" s="695"/>
      <c r="J45" s="695"/>
      <c r="K45" s="697"/>
      <c r="L45" s="698"/>
      <c r="M45" s="695"/>
      <c r="N45" s="2760"/>
      <c r="O45" s="2760"/>
      <c r="P45" s="2760"/>
      <c r="Q45" s="2730"/>
      <c r="R45" s="2716"/>
      <c r="S45" s="2716"/>
      <c r="T45" s="2716"/>
      <c r="U45" s="2716"/>
      <c r="V45" s="2716"/>
      <c r="W45" s="2716"/>
      <c r="X45" s="2716"/>
      <c r="Y45" s="2716"/>
      <c r="Z45" s="2716"/>
      <c r="AA45" s="2716"/>
      <c r="AB45" s="2716"/>
      <c r="AC45" s="2716"/>
      <c r="AD45" s="2716"/>
    </row>
    <row r="46" spans="1:30" s="457" customFormat="1" ht="15">
      <c r="A46" s="454" t="s">
        <v>1676</v>
      </c>
      <c r="B46" s="455"/>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67"/>
      <c r="Q46" s="2732"/>
      <c r="R46" s="2732"/>
      <c r="S46" s="2732"/>
      <c r="T46" s="2732"/>
      <c r="U46" s="2732"/>
      <c r="V46" s="2732"/>
      <c r="W46" s="2732"/>
      <c r="X46" s="2732"/>
      <c r="Y46" s="2732"/>
      <c r="Z46" s="2732"/>
      <c r="AA46" s="2732"/>
      <c r="AB46" s="2732"/>
      <c r="AC46" s="2732"/>
      <c r="AD46" s="2732"/>
    </row>
    <row r="47" spans="1:30" s="108" customFormat="1" ht="15">
      <c r="A47" s="458"/>
      <c r="B47" s="459"/>
      <c r="C47" s="1180">
        <v>100</v>
      </c>
      <c r="D47" s="461"/>
      <c r="E47" s="461"/>
      <c r="F47" s="461"/>
      <c r="G47" s="461"/>
      <c r="H47" s="461"/>
      <c r="I47" s="461"/>
      <c r="J47" s="461"/>
      <c r="K47" s="461"/>
      <c r="L47" s="461"/>
      <c r="M47" s="462"/>
      <c r="N47" s="461"/>
      <c r="O47" s="463"/>
      <c r="P47" s="2730"/>
      <c r="Q47" s="2652"/>
      <c r="R47" s="2652"/>
      <c r="S47" s="2652"/>
      <c r="T47" s="2652"/>
      <c r="U47" s="2652"/>
      <c r="V47" s="2652"/>
      <c r="W47" s="2652"/>
      <c r="X47" s="2652"/>
      <c r="Y47" s="2652"/>
      <c r="Z47" s="2652"/>
      <c r="AA47" s="2652"/>
      <c r="AB47" s="2652"/>
      <c r="AC47" s="2652"/>
      <c r="AD47" s="2652"/>
    </row>
    <row r="48" spans="1:30" s="108" customFormat="1" ht="15.75" thickBot="1">
      <c r="A48" s="464" t="s">
        <v>1713</v>
      </c>
      <c r="B48" s="465"/>
      <c r="C48" s="466"/>
      <c r="D48" s="467"/>
      <c r="E48" s="467"/>
      <c r="F48" s="467"/>
      <c r="G48" s="467"/>
      <c r="H48" s="467"/>
      <c r="I48" s="467"/>
      <c r="J48" s="467"/>
      <c r="K48" s="467"/>
      <c r="L48" s="467"/>
      <c r="M48" s="468"/>
      <c r="N48" s="467"/>
      <c r="O48" s="469"/>
      <c r="P48" s="2730"/>
      <c r="Q48" s="2730"/>
      <c r="R48" s="2652"/>
      <c r="S48" s="2652"/>
      <c r="T48" s="2652"/>
      <c r="U48" s="2652"/>
      <c r="V48" s="2652"/>
      <c r="W48" s="2652"/>
      <c r="X48" s="2652"/>
      <c r="Y48" s="2652"/>
      <c r="Z48" s="2652"/>
      <c r="AA48" s="2652"/>
      <c r="AB48" s="2652"/>
      <c r="AC48" s="2652"/>
      <c r="AD48" s="2652"/>
    </row>
    <row r="49" spans="1:30" s="108" customFormat="1" ht="15">
      <c r="A49" s="470" t="s">
        <v>1678</v>
      </c>
      <c r="B49" s="459"/>
      <c r="C49" s="471" t="s">
        <v>1773</v>
      </c>
      <c r="D49" s="472"/>
      <c r="E49" s="472"/>
      <c r="F49" s="472"/>
      <c r="G49" s="472"/>
      <c r="H49" s="472"/>
      <c r="I49" s="472"/>
      <c r="J49" s="472"/>
      <c r="K49" s="472"/>
      <c r="L49" s="473"/>
      <c r="M49" s="474"/>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70"/>
      <c r="B50" s="459"/>
      <c r="C50" s="587">
        <v>100</v>
      </c>
      <c r="D50" s="461"/>
      <c r="E50" s="461"/>
      <c r="F50" s="461"/>
      <c r="G50" s="461"/>
      <c r="H50" s="461"/>
      <c r="I50" s="461"/>
      <c r="J50" s="461"/>
      <c r="K50" s="461"/>
      <c r="L50" s="461"/>
      <c r="M50" s="463"/>
      <c r="N50" s="2743"/>
      <c r="O50" s="2743"/>
      <c r="P50" s="2730"/>
      <c r="Q50" s="2730"/>
      <c r="R50" s="2652"/>
      <c r="S50" s="2652"/>
      <c r="T50" s="2652"/>
      <c r="U50" s="2652"/>
      <c r="V50" s="2652"/>
      <c r="W50" s="2652"/>
      <c r="X50" s="2652"/>
      <c r="Y50" s="2652"/>
      <c r="Z50" s="2652"/>
      <c r="AA50" s="2652"/>
      <c r="AB50" s="2652"/>
      <c r="AC50" s="2652"/>
      <c r="AD50" s="2652"/>
    </row>
    <row r="51" spans="1:30">
      <c r="A51" s="476" t="s">
        <v>1716</v>
      </c>
      <c r="B51" s="477" t="s">
        <v>1682</v>
      </c>
      <c r="C51" s="478">
        <f>C9</f>
        <v>0</v>
      </c>
      <c r="D51" s="479"/>
      <c r="E51" s="479"/>
      <c r="F51" s="479"/>
      <c r="G51" s="479"/>
      <c r="H51" s="479"/>
      <c r="I51" s="479"/>
      <c r="J51" s="479"/>
      <c r="K51" s="480"/>
      <c r="L51" s="481"/>
      <c r="M51" s="482"/>
      <c r="N51" s="2744"/>
      <c r="O51" s="2744"/>
      <c r="P51" s="2769"/>
      <c r="Q51" s="2730"/>
      <c r="R51" s="2716"/>
      <c r="S51" s="2716"/>
      <c r="T51" s="2716"/>
      <c r="U51" s="2716"/>
      <c r="V51" s="2716"/>
      <c r="W51" s="2716"/>
      <c r="X51" s="2716"/>
      <c r="Y51" s="2716"/>
      <c r="Z51" s="2716"/>
      <c r="AA51" s="2716"/>
      <c r="AB51" s="2716"/>
      <c r="AC51" s="2716"/>
      <c r="AD51" s="2716"/>
    </row>
    <row r="52" spans="1:30" ht="15.75" thickBot="1">
      <c r="A52" s="483"/>
      <c r="B52" s="484"/>
      <c r="C52" s="485">
        <v>100</v>
      </c>
      <c r="D52" s="485"/>
      <c r="E52" s="485"/>
      <c r="F52" s="485"/>
      <c r="G52" s="485"/>
      <c r="H52" s="485"/>
      <c r="I52" s="485"/>
      <c r="J52" s="485"/>
      <c r="K52" s="485"/>
      <c r="L52" s="485"/>
      <c r="M52" s="486"/>
      <c r="N52" s="2745"/>
      <c r="O52" s="2745"/>
      <c r="P52" s="2769"/>
      <c r="Q52" s="2730"/>
      <c r="R52" s="2716"/>
      <c r="S52" s="2716"/>
      <c r="T52" s="2716"/>
      <c r="U52" s="2716"/>
      <c r="V52" s="2716"/>
      <c r="W52" s="2716"/>
      <c r="X52" s="2716"/>
      <c r="Y52" s="2716"/>
      <c r="Z52" s="2716"/>
      <c r="AA52" s="2716"/>
      <c r="AB52" s="2716"/>
      <c r="AC52" s="2716"/>
      <c r="AD52" s="2716"/>
    </row>
    <row r="53" spans="1:30" ht="27.75" thickTop="1">
      <c r="A53" s="483"/>
      <c r="B53" s="487" t="s">
        <v>1685</v>
      </c>
      <c r="C53" s="532"/>
      <c r="D53" s="532"/>
      <c r="E53" s="532"/>
      <c r="F53" s="532"/>
      <c r="G53" s="532"/>
      <c r="H53" s="532"/>
      <c r="I53" s="532"/>
      <c r="J53" s="532"/>
      <c r="K53" s="533"/>
      <c r="L53" s="534"/>
      <c r="M53" s="535"/>
      <c r="N53" s="2744"/>
      <c r="O53" s="2744"/>
      <c r="P53" s="2769"/>
      <c r="Q53" s="2730"/>
      <c r="R53" s="2716"/>
      <c r="S53" s="2716"/>
      <c r="T53" s="2716"/>
      <c r="U53" s="2716"/>
      <c r="V53" s="2716"/>
      <c r="W53" s="2716"/>
      <c r="X53" s="2716"/>
      <c r="Y53" s="2716"/>
      <c r="Z53" s="2716"/>
      <c r="AA53" s="2716"/>
      <c r="AB53" s="2716"/>
      <c r="AC53" s="2716"/>
      <c r="AD53" s="2716"/>
    </row>
    <row r="54" spans="1:30" ht="15.75" thickBot="1">
      <c r="A54" s="483"/>
      <c r="B54" s="492"/>
      <c r="C54" s="485"/>
      <c r="D54" s="485"/>
      <c r="E54" s="485"/>
      <c r="F54" s="485"/>
      <c r="G54" s="485"/>
      <c r="H54" s="485"/>
      <c r="I54" s="485"/>
      <c r="J54" s="485"/>
      <c r="K54" s="485"/>
      <c r="L54" s="485"/>
      <c r="M54" s="486"/>
      <c r="N54" s="2745"/>
      <c r="O54" s="2745"/>
      <c r="P54" s="2769"/>
      <c r="Q54" s="2730"/>
      <c r="R54" s="2716"/>
      <c r="S54" s="2716"/>
      <c r="T54" s="2716"/>
      <c r="U54" s="2716"/>
      <c r="V54" s="2716"/>
      <c r="W54" s="2716"/>
      <c r="X54" s="2716"/>
      <c r="Y54" s="2716"/>
      <c r="Z54" s="2716"/>
      <c r="AA54" s="2716"/>
      <c r="AB54" s="2716"/>
      <c r="AC54" s="2716"/>
      <c r="AD54" s="2716"/>
    </row>
    <row r="55" spans="1:30" ht="15.75" thickTop="1">
      <c r="A55" s="483"/>
      <c r="B55" s="608">
        <f>B11</f>
        <v>111</v>
      </c>
      <c r="C55" s="498"/>
      <c r="D55" s="498"/>
      <c r="E55" s="498"/>
      <c r="F55" s="498"/>
      <c r="G55" s="498"/>
      <c r="H55" s="498"/>
      <c r="I55" s="498"/>
      <c r="J55" s="498"/>
      <c r="K55" s="499"/>
      <c r="L55" s="500"/>
      <c r="M55" s="501"/>
      <c r="N55" s="2744"/>
      <c r="O55" s="2744"/>
      <c r="P55" s="2769"/>
      <c r="Q55" s="2730"/>
      <c r="R55" s="2716"/>
      <c r="S55" s="2716"/>
      <c r="T55" s="2716"/>
      <c r="U55" s="2716"/>
      <c r="V55" s="2716"/>
      <c r="W55" s="2716"/>
      <c r="X55" s="2716"/>
      <c r="Y55" s="2716"/>
      <c r="Z55" s="2716"/>
      <c r="AA55" s="2716"/>
      <c r="AB55" s="2716"/>
      <c r="AC55" s="2716"/>
      <c r="AD55" s="2716"/>
    </row>
    <row r="56" spans="1:30" ht="15.75" thickBot="1">
      <c r="A56" s="483"/>
      <c r="B56" s="484"/>
      <c r="C56" s="509"/>
      <c r="D56" s="485"/>
      <c r="E56" s="485"/>
      <c r="F56" s="485"/>
      <c r="G56" s="485"/>
      <c r="H56" s="485"/>
      <c r="I56" s="485"/>
      <c r="J56" s="485"/>
      <c r="K56" s="485"/>
      <c r="L56" s="485"/>
      <c r="M56" s="486"/>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2"/>
      <c r="B57" s="487">
        <f>B12</f>
        <v>111</v>
      </c>
      <c r="C57" s="498"/>
      <c r="D57" s="498"/>
      <c r="E57" s="498"/>
      <c r="F57" s="498"/>
      <c r="G57" s="503"/>
      <c r="H57" s="504"/>
      <c r="I57" s="504"/>
      <c r="J57" s="504"/>
      <c r="K57" s="504"/>
      <c r="L57" s="505"/>
      <c r="M57" s="506"/>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2"/>
      <c r="B58" s="492"/>
      <c r="C58" s="509"/>
      <c r="D58" s="485"/>
      <c r="E58" s="485"/>
      <c r="F58" s="485"/>
      <c r="G58" s="485"/>
      <c r="H58" s="485"/>
      <c r="I58" s="485"/>
      <c r="J58" s="485"/>
      <c r="K58" s="485"/>
      <c r="L58" s="485"/>
      <c r="M58" s="486"/>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2"/>
      <c r="B59" s="487">
        <f>B13</f>
        <v>111</v>
      </c>
      <c r="C59" s="498"/>
      <c r="D59" s="498"/>
      <c r="E59" s="498"/>
      <c r="F59" s="498"/>
      <c r="G59" s="503"/>
      <c r="H59" s="504"/>
      <c r="I59" s="504"/>
      <c r="J59" s="504"/>
      <c r="K59" s="504"/>
      <c r="L59" s="505"/>
      <c r="M59" s="506"/>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2"/>
      <c r="B60" s="492"/>
      <c r="C60" s="509"/>
      <c r="D60" s="509"/>
      <c r="E60" s="509"/>
      <c r="F60" s="509"/>
      <c r="G60" s="509"/>
      <c r="H60" s="511"/>
      <c r="I60" s="511"/>
      <c r="J60" s="511"/>
      <c r="K60" s="511"/>
      <c r="L60" s="511"/>
      <c r="M60" s="512"/>
      <c r="N60" s="2746"/>
      <c r="O60" s="2746"/>
      <c r="P60" s="2770"/>
      <c r="Q60" s="2737"/>
      <c r="R60" s="2738"/>
      <c r="S60" s="2738"/>
      <c r="T60" s="2738"/>
      <c r="U60" s="2738"/>
      <c r="V60" s="2738"/>
      <c r="W60" s="2738"/>
      <c r="X60" s="2738"/>
      <c r="Y60" s="2738"/>
      <c r="Z60" s="2738"/>
      <c r="AA60" s="2738"/>
      <c r="AB60" s="2738"/>
      <c r="AC60" s="2738"/>
      <c r="AD60" s="2738"/>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4"/>
      <c r="O61" s="2744"/>
      <c r="P61" s="2771"/>
      <c r="Q61" s="2730"/>
      <c r="R61" s="2716"/>
      <c r="S61" s="2716"/>
      <c r="T61" s="2716"/>
      <c r="U61" s="2716"/>
      <c r="V61" s="2716"/>
      <c r="W61" s="2716"/>
      <c r="X61" s="2716"/>
      <c r="Y61" s="2716"/>
      <c r="Z61" s="2716"/>
      <c r="AA61" s="2716"/>
      <c r="AB61" s="2716"/>
      <c r="AC61" s="2716"/>
      <c r="AD61" s="271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5"/>
      <c r="O62" s="2745"/>
      <c r="P62" s="2769"/>
      <c r="Q62" s="2730"/>
      <c r="R62" s="2716"/>
      <c r="S62" s="2716"/>
      <c r="T62" s="2716"/>
      <c r="U62" s="2716"/>
      <c r="V62" s="2716"/>
      <c r="W62" s="2716"/>
      <c r="X62" s="2716"/>
      <c r="Y62" s="2716"/>
      <c r="Z62" s="2716"/>
      <c r="AA62" s="2716"/>
      <c r="AB62" s="2716"/>
      <c r="AC62" s="2716"/>
      <c r="AD62" s="2716"/>
    </row>
    <row r="63" spans="1:30" ht="27.75" thickTop="1">
      <c r="A63" s="483"/>
      <c r="B63" s="487" t="s">
        <v>1860</v>
      </c>
      <c r="C63" s="527" t="s">
        <v>1718</v>
      </c>
      <c r="D63" s="527" t="s">
        <v>1719</v>
      </c>
      <c r="E63" s="527" t="s">
        <v>1720</v>
      </c>
      <c r="F63" s="527" t="s">
        <v>1721</v>
      </c>
      <c r="G63" s="527" t="s">
        <v>1722</v>
      </c>
      <c r="H63" s="488"/>
      <c r="I63" s="488"/>
      <c r="J63" s="488"/>
      <c r="K63" s="489"/>
      <c r="L63" s="490"/>
      <c r="M63" s="491"/>
      <c r="N63" s="2744"/>
      <c r="O63" s="2744"/>
      <c r="P63" s="2769"/>
      <c r="Q63" s="2730"/>
      <c r="R63" s="2716"/>
      <c r="S63" s="2716"/>
      <c r="T63" s="2716"/>
      <c r="U63" s="2716"/>
      <c r="V63" s="2716"/>
      <c r="W63" s="2716"/>
      <c r="X63" s="2716"/>
      <c r="Y63" s="2716"/>
      <c r="Z63" s="2716"/>
      <c r="AA63" s="2716"/>
      <c r="AB63" s="2716"/>
      <c r="AC63" s="2716"/>
      <c r="AD63" s="271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5"/>
      <c r="O64" s="2745"/>
      <c r="P64" s="2769"/>
      <c r="Q64" s="2730"/>
      <c r="R64" s="2716"/>
      <c r="S64" s="2716"/>
      <c r="T64" s="2716"/>
      <c r="U64" s="2716"/>
      <c r="V64" s="2716"/>
      <c r="W64" s="2716"/>
      <c r="X64" s="2716"/>
      <c r="Y64" s="2716"/>
      <c r="Z64" s="2716"/>
      <c r="AA64" s="2716"/>
      <c r="AB64" s="2716"/>
      <c r="AC64" s="2716"/>
      <c r="AD64" s="2716"/>
    </row>
    <row r="65" spans="1:30" ht="15.75" thickTop="1">
      <c r="A65" s="483"/>
      <c r="B65" s="495" t="s">
        <v>1810</v>
      </c>
      <c r="C65" s="608" t="s">
        <v>1796</v>
      </c>
      <c r="D65" s="608" t="s">
        <v>1797</v>
      </c>
      <c r="E65" s="608" t="s">
        <v>1798</v>
      </c>
      <c r="F65" s="608" t="s">
        <v>1799</v>
      </c>
      <c r="G65" s="608" t="s">
        <v>1800</v>
      </c>
      <c r="H65" s="488"/>
      <c r="I65" s="488"/>
      <c r="J65" s="488"/>
      <c r="K65" s="488"/>
      <c r="L65" s="488"/>
      <c r="M65" s="1129"/>
      <c r="N65" s="2745"/>
      <c r="O65" s="2745"/>
      <c r="P65" s="2769"/>
      <c r="Q65" s="2730"/>
      <c r="R65" s="2716"/>
      <c r="S65" s="2716"/>
      <c r="T65" s="2716"/>
      <c r="U65" s="2716"/>
      <c r="V65" s="2716"/>
      <c r="W65" s="2716"/>
      <c r="X65" s="2716"/>
      <c r="Y65" s="2716"/>
      <c r="Z65" s="2716"/>
      <c r="AA65" s="2716"/>
      <c r="AB65" s="2716"/>
      <c r="AC65" s="2716"/>
      <c r="AD65" s="271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3"/>
      <c r="B67" s="487" t="s">
        <v>1730</v>
      </c>
      <c r="C67" s="527" t="s">
        <v>1718</v>
      </c>
      <c r="D67" s="527" t="s">
        <v>1719</v>
      </c>
      <c r="E67" s="527" t="s">
        <v>1720</v>
      </c>
      <c r="F67" s="527" t="s">
        <v>1721</v>
      </c>
      <c r="G67" s="527" t="s">
        <v>1722</v>
      </c>
      <c r="H67" s="488"/>
      <c r="I67" s="488"/>
      <c r="J67" s="488"/>
      <c r="K67" s="489"/>
      <c r="L67" s="490"/>
      <c r="M67" s="491"/>
      <c r="N67" s="2744"/>
      <c r="O67" s="2744"/>
      <c r="P67" s="2769"/>
      <c r="Q67" s="2730"/>
      <c r="R67" s="2716"/>
      <c r="S67" s="2716"/>
      <c r="T67" s="2716"/>
      <c r="U67" s="2716"/>
      <c r="V67" s="2716"/>
      <c r="W67" s="2716"/>
      <c r="X67" s="2716"/>
      <c r="Y67" s="2716"/>
      <c r="Z67" s="2716"/>
      <c r="AA67" s="2716"/>
      <c r="AB67" s="2716"/>
      <c r="AC67" s="2716"/>
      <c r="AD67" s="271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5"/>
      <c r="O68" s="2745"/>
      <c r="P68" s="2769"/>
      <c r="Q68" s="2730"/>
      <c r="R68" s="2716"/>
      <c r="S68" s="2716"/>
      <c r="T68" s="2716"/>
      <c r="U68" s="2716"/>
      <c r="V68" s="2716"/>
      <c r="W68" s="2716"/>
      <c r="X68" s="2716"/>
      <c r="Y68" s="2716"/>
      <c r="Z68" s="2716"/>
      <c r="AA68" s="2716"/>
      <c r="AB68" s="2716"/>
      <c r="AC68" s="2716"/>
      <c r="AD68" s="2716"/>
    </row>
    <row r="69" spans="1:30" ht="15.75" thickTop="1">
      <c r="A69" s="483"/>
      <c r="B69" s="487" t="s">
        <v>1849</v>
      </c>
      <c r="C69" s="503"/>
      <c r="D69" s="503"/>
      <c r="E69" s="503"/>
      <c r="F69" s="503"/>
      <c r="G69" s="503"/>
      <c r="H69" s="532"/>
      <c r="I69" s="532"/>
      <c r="J69" s="532"/>
      <c r="K69" s="533"/>
      <c r="L69" s="534"/>
      <c r="M69" s="535"/>
      <c r="N69" s="2744"/>
      <c r="O69" s="2744"/>
      <c r="P69" s="2769"/>
      <c r="Q69" s="2730"/>
      <c r="R69" s="2716"/>
      <c r="S69" s="2716"/>
      <c r="T69" s="2716"/>
      <c r="U69" s="2716"/>
      <c r="V69" s="2716"/>
      <c r="W69" s="2716"/>
      <c r="X69" s="2716"/>
      <c r="Y69" s="2716"/>
      <c r="Z69" s="2716"/>
      <c r="AA69" s="2716"/>
      <c r="AB69" s="2716"/>
      <c r="AC69" s="2716"/>
      <c r="AD69" s="2716"/>
    </row>
    <row r="70" spans="1:30" ht="15.75" thickBot="1">
      <c r="A70" s="483"/>
      <c r="B70" s="492"/>
      <c r="C70" s="493">
        <v>100</v>
      </c>
      <c r="D70" s="493">
        <f>C70-$K22</f>
        <v>100</v>
      </c>
      <c r="E70" s="493"/>
      <c r="F70" s="493"/>
      <c r="G70" s="493"/>
      <c r="H70" s="493"/>
      <c r="I70" s="493"/>
      <c r="J70" s="493"/>
      <c r="K70" s="493"/>
      <c r="L70" s="493"/>
      <c r="M70" s="494"/>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8"/>
      <c r="B71" s="487">
        <f>B23</f>
        <v>111</v>
      </c>
      <c r="C71" s="498"/>
      <c r="D71" s="498"/>
      <c r="E71" s="498"/>
      <c r="F71" s="498"/>
      <c r="G71" s="503"/>
      <c r="H71" s="503"/>
      <c r="I71" s="503"/>
      <c r="J71" s="503"/>
      <c r="K71" s="503"/>
      <c r="L71" s="529"/>
      <c r="M71" s="530"/>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8"/>
      <c r="B72" s="492"/>
      <c r="C72" s="509"/>
      <c r="D72" s="485"/>
      <c r="E72" s="485"/>
      <c r="F72" s="485"/>
      <c r="G72" s="485"/>
      <c r="H72" s="485"/>
      <c r="I72" s="485"/>
      <c r="J72" s="485"/>
      <c r="K72" s="485"/>
      <c r="L72" s="485"/>
      <c r="M72" s="486"/>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8"/>
      <c r="B73" s="487">
        <f>B24</f>
        <v>111</v>
      </c>
      <c r="C73" s="498"/>
      <c r="D73" s="498"/>
      <c r="E73" s="498"/>
      <c r="F73" s="498"/>
      <c r="G73" s="503"/>
      <c r="H73" s="503"/>
      <c r="I73" s="503"/>
      <c r="J73" s="503"/>
      <c r="K73" s="503"/>
      <c r="L73" s="503"/>
      <c r="M73" s="530"/>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8"/>
      <c r="B74" s="492"/>
      <c r="C74" s="509"/>
      <c r="D74" s="485"/>
      <c r="E74" s="485"/>
      <c r="F74" s="485"/>
      <c r="G74" s="485"/>
      <c r="H74" s="485"/>
      <c r="I74" s="485"/>
      <c r="J74" s="485"/>
      <c r="K74" s="485"/>
      <c r="L74" s="485"/>
      <c r="M74" s="486"/>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2"/>
      <c r="B75" s="487">
        <f>B25</f>
        <v>111</v>
      </c>
      <c r="C75" s="498"/>
      <c r="D75" s="498"/>
      <c r="E75" s="498"/>
      <c r="F75" s="498"/>
      <c r="G75" s="503"/>
      <c r="H75" s="504"/>
      <c r="I75" s="504"/>
      <c r="J75" s="504"/>
      <c r="K75" s="504"/>
      <c r="L75" s="505"/>
      <c r="M75" s="506"/>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2"/>
      <c r="B76" s="492"/>
      <c r="C76" s="509"/>
      <c r="D76" s="509"/>
      <c r="E76" s="509"/>
      <c r="F76" s="509"/>
      <c r="G76" s="485"/>
      <c r="H76" s="485"/>
      <c r="I76" s="485"/>
      <c r="J76" s="485"/>
      <c r="K76" s="485"/>
      <c r="L76" s="485"/>
      <c r="M76" s="486"/>
      <c r="N76" s="2746"/>
      <c r="O76" s="2746"/>
      <c r="P76" s="2770"/>
      <c r="Q76" s="2737"/>
      <c r="R76" s="2738"/>
      <c r="S76" s="2738"/>
      <c r="T76" s="2738"/>
      <c r="U76" s="2738"/>
      <c r="V76" s="2738"/>
      <c r="W76" s="2738"/>
      <c r="X76" s="2738"/>
      <c r="Y76" s="2738"/>
      <c r="Z76" s="2738"/>
      <c r="AA76" s="2738"/>
      <c r="AB76" s="2738"/>
      <c r="AC76" s="2738"/>
      <c r="AD76" s="2738"/>
    </row>
    <row r="77" spans="1:30" ht="15" thickTop="1">
      <c r="A77" s="476" t="s">
        <v>1691</v>
      </c>
      <c r="B77" s="477" t="s">
        <v>1737</v>
      </c>
      <c r="C77" s="503"/>
      <c r="D77" s="503"/>
      <c r="E77" s="479"/>
      <c r="F77" s="479"/>
      <c r="G77" s="479"/>
      <c r="H77" s="479"/>
      <c r="I77" s="479"/>
      <c r="J77" s="479"/>
      <c r="K77" s="480"/>
      <c r="L77" s="481"/>
      <c r="M77" s="482"/>
      <c r="N77" s="2744"/>
      <c r="O77" s="2744"/>
      <c r="P77" s="2769"/>
      <c r="Q77" s="2730"/>
      <c r="R77" s="2716"/>
      <c r="S77" s="2716"/>
      <c r="T77" s="2716"/>
      <c r="U77" s="2716"/>
      <c r="V77" s="2716"/>
      <c r="W77" s="2716"/>
      <c r="X77" s="2716"/>
      <c r="Y77" s="2716"/>
      <c r="Z77" s="2716"/>
      <c r="AA77" s="2716"/>
      <c r="AB77" s="2716"/>
      <c r="AC77" s="2716"/>
      <c r="AD77" s="271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3"/>
      <c r="O79" s="2743"/>
      <c r="P79" s="2769"/>
      <c r="Q79" s="2730"/>
      <c r="R79" s="2716"/>
      <c r="S79" s="2716"/>
      <c r="T79" s="2716"/>
      <c r="U79" s="2716"/>
      <c r="V79" s="2716"/>
      <c r="W79" s="2716"/>
      <c r="X79" s="2716"/>
      <c r="Y79" s="2716"/>
      <c r="Z79" s="2716"/>
      <c r="AA79" s="2716"/>
      <c r="AB79" s="2716"/>
      <c r="AC79" s="2716"/>
      <c r="AD79" s="2716"/>
    </row>
    <row r="80" spans="1:30" ht="15">
      <c r="A80" s="483"/>
      <c r="B80" s="495"/>
      <c r="C80" s="552">
        <v>0.5</v>
      </c>
      <c r="D80" s="552">
        <v>0.6</v>
      </c>
      <c r="E80" s="552">
        <v>0.7</v>
      </c>
      <c r="F80" s="552">
        <v>0.8</v>
      </c>
      <c r="G80" s="552">
        <v>0.9</v>
      </c>
      <c r="H80" s="552">
        <v>1.0001</v>
      </c>
      <c r="I80" s="608"/>
      <c r="J80" s="608"/>
      <c r="K80" s="616"/>
      <c r="L80" s="617"/>
      <c r="M80" s="618"/>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8"/>
      <c r="B82" s="495" t="s">
        <v>1853</v>
      </c>
      <c r="C82" s="503"/>
      <c r="D82" s="503"/>
      <c r="E82" s="532"/>
      <c r="F82" s="532"/>
      <c r="G82" s="532"/>
      <c r="H82" s="532"/>
      <c r="I82" s="532"/>
      <c r="J82" s="532"/>
      <c r="K82" s="533"/>
      <c r="L82" s="534"/>
      <c r="M82" s="535"/>
      <c r="N82" s="2744"/>
      <c r="O82" s="2744"/>
      <c r="P82" s="2769"/>
      <c r="Q82" s="2730"/>
      <c r="R82" s="2716"/>
      <c r="S82" s="2716"/>
      <c r="T82" s="2716"/>
      <c r="U82" s="2716"/>
      <c r="V82" s="2716"/>
      <c r="W82" s="2716"/>
      <c r="X82" s="2716"/>
      <c r="Y82" s="2716"/>
      <c r="Z82" s="2716"/>
      <c r="AA82" s="2716"/>
      <c r="AB82" s="2716"/>
      <c r="AC82" s="2716"/>
      <c r="AD82" s="271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8"/>
      <c r="B84" s="487" t="s">
        <v>1861</v>
      </c>
      <c r="C84" s="503"/>
      <c r="D84" s="503"/>
      <c r="E84" s="503"/>
      <c r="F84" s="503"/>
      <c r="G84" s="503"/>
      <c r="H84" s="503"/>
      <c r="I84" s="532"/>
      <c r="J84" s="532"/>
      <c r="K84" s="533"/>
      <c r="L84" s="534"/>
      <c r="M84" s="535"/>
      <c r="N84" s="2744"/>
      <c r="O84" s="2744"/>
      <c r="P84" s="2769"/>
      <c r="Q84" s="2730"/>
      <c r="R84" s="2716"/>
      <c r="S84" s="2716"/>
      <c r="T84" s="2716"/>
      <c r="U84" s="2716"/>
      <c r="V84" s="2716"/>
      <c r="W84" s="2716"/>
      <c r="X84" s="2716"/>
      <c r="Y84" s="2716"/>
      <c r="Z84" s="2716"/>
      <c r="AA84" s="2716"/>
      <c r="AB84" s="2716"/>
      <c r="AC84" s="2716"/>
      <c r="AD84" s="271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8"/>
      <c r="B87" s="495"/>
      <c r="C87" s="544"/>
      <c r="D87" s="544"/>
      <c r="E87" s="544"/>
      <c r="F87" s="544"/>
      <c r="G87" s="544"/>
      <c r="H87" s="544"/>
      <c r="I87" s="544"/>
      <c r="J87" s="545"/>
      <c r="K87" s="545"/>
      <c r="L87" s="546"/>
      <c r="M87" s="547"/>
      <c r="N87" s="2744"/>
      <c r="O87" s="2744"/>
      <c r="P87" s="2769"/>
      <c r="Q87" s="2730"/>
      <c r="R87" s="2716"/>
      <c r="S87" s="2716"/>
      <c r="T87" s="2716"/>
      <c r="U87" s="2716"/>
      <c r="V87" s="2716"/>
      <c r="W87" s="2716"/>
      <c r="X87" s="2716"/>
      <c r="Y87" s="2716"/>
      <c r="Z87" s="2716"/>
      <c r="AA87" s="2716"/>
      <c r="AB87" s="2716"/>
      <c r="AC87" s="2716"/>
      <c r="AD87" s="2716"/>
    </row>
    <row r="88" spans="1:30" ht="15.75" thickBot="1">
      <c r="A88" s="483"/>
      <c r="B88" s="492"/>
      <c r="C88" s="509"/>
      <c r="D88" s="485"/>
      <c r="E88" s="485"/>
      <c r="F88" s="485"/>
      <c r="G88" s="485"/>
      <c r="H88" s="485"/>
      <c r="I88" s="485"/>
      <c r="J88" s="485"/>
      <c r="K88" s="485"/>
      <c r="L88" s="485"/>
      <c r="M88" s="485"/>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2"/>
      <c r="B89" s="487" t="s">
        <v>1863</v>
      </c>
      <c r="C89" s="503"/>
      <c r="D89" s="503"/>
      <c r="E89" s="503"/>
      <c r="F89" s="503"/>
      <c r="G89" s="503"/>
      <c r="H89" s="503"/>
      <c r="I89" s="503"/>
      <c r="J89" s="503"/>
      <c r="K89" s="503"/>
      <c r="L89" s="503"/>
      <c r="M89" s="530"/>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2"/>
      <c r="B90" s="492"/>
      <c r="C90" s="509"/>
      <c r="D90" s="485"/>
      <c r="E90" s="485"/>
      <c r="F90" s="485"/>
      <c r="G90" s="485"/>
      <c r="H90" s="485"/>
      <c r="I90" s="485"/>
      <c r="J90" s="485"/>
      <c r="K90" s="485"/>
      <c r="L90" s="485"/>
      <c r="M90" s="486"/>
      <c r="N90" s="2746"/>
      <c r="O90" s="2746"/>
      <c r="P90" s="2770"/>
      <c r="Q90" s="2737"/>
      <c r="R90" s="2738"/>
      <c r="S90" s="2738"/>
      <c r="T90" s="2738"/>
      <c r="U90" s="2738"/>
      <c r="V90" s="2738"/>
      <c r="W90" s="2738"/>
      <c r="X90" s="2738"/>
      <c r="Y90" s="2738"/>
      <c r="Z90" s="2738"/>
      <c r="AA90" s="2738"/>
      <c r="AB90" s="2738"/>
      <c r="AC90" s="2738"/>
      <c r="AD90" s="2738"/>
    </row>
    <row r="91" spans="1:30" ht="15" thickTop="1">
      <c r="A91" s="548"/>
      <c r="B91" s="487">
        <f>B32</f>
        <v>111</v>
      </c>
      <c r="C91" s="498"/>
      <c r="D91" s="498"/>
      <c r="E91" s="498"/>
      <c r="F91" s="498"/>
      <c r="G91" s="503"/>
      <c r="H91" s="504"/>
      <c r="I91" s="504"/>
      <c r="J91" s="504"/>
      <c r="K91" s="504"/>
      <c r="L91" s="505"/>
      <c r="M91" s="506"/>
      <c r="N91" s="2744"/>
      <c r="O91" s="2744"/>
      <c r="P91" s="2769"/>
      <c r="Q91" s="2730"/>
      <c r="R91" s="2716"/>
      <c r="S91" s="2716"/>
      <c r="T91" s="2716"/>
      <c r="U91" s="2716"/>
      <c r="V91" s="2716"/>
      <c r="W91" s="2716"/>
      <c r="X91" s="2716"/>
      <c r="Y91" s="2716"/>
      <c r="Z91" s="2716"/>
      <c r="AA91" s="2716"/>
      <c r="AB91" s="2716"/>
      <c r="AC91" s="2716"/>
      <c r="AD91" s="2716"/>
    </row>
    <row r="92" spans="1:30" ht="15.75" thickBot="1">
      <c r="A92" s="483"/>
      <c r="B92" s="492"/>
      <c r="C92" s="509"/>
      <c r="D92" s="485"/>
      <c r="E92" s="485"/>
      <c r="F92" s="485"/>
      <c r="G92" s="509"/>
      <c r="H92" s="511"/>
      <c r="I92" s="511"/>
      <c r="J92" s="511"/>
      <c r="K92" s="511"/>
      <c r="L92" s="511"/>
      <c r="M92" s="512"/>
      <c r="N92" s="2745"/>
      <c r="O92" s="2745"/>
      <c r="P92" s="2769"/>
      <c r="Q92" s="2730"/>
      <c r="R92" s="2716"/>
      <c r="S92" s="2716"/>
      <c r="T92" s="2716"/>
      <c r="U92" s="2716"/>
      <c r="V92" s="2716"/>
      <c r="W92" s="2716"/>
      <c r="X92" s="2716"/>
      <c r="Y92" s="2716"/>
      <c r="Z92" s="2716"/>
      <c r="AA92" s="2716"/>
      <c r="AB92" s="2716"/>
      <c r="AC92" s="2716"/>
      <c r="AD92" s="2716"/>
    </row>
    <row r="93" spans="1:30" ht="15" thickTop="1">
      <c r="A93" s="548"/>
      <c r="B93" s="487">
        <f>B33</f>
        <v>111</v>
      </c>
      <c r="C93" s="498"/>
      <c r="D93" s="498"/>
      <c r="E93" s="498"/>
      <c r="F93" s="498"/>
      <c r="G93" s="503"/>
      <c r="H93" s="504"/>
      <c r="I93" s="504"/>
      <c r="J93" s="504"/>
      <c r="K93" s="504"/>
      <c r="L93" s="505"/>
      <c r="M93" s="506"/>
      <c r="N93" s="2744"/>
      <c r="O93" s="2744"/>
      <c r="P93" s="2769"/>
      <c r="Q93" s="2730"/>
      <c r="R93" s="2716"/>
      <c r="S93" s="2716"/>
      <c r="T93" s="2716"/>
      <c r="U93" s="2716"/>
      <c r="V93" s="2716"/>
      <c r="W93" s="2716"/>
      <c r="X93" s="2716"/>
      <c r="Y93" s="2716"/>
      <c r="Z93" s="2716"/>
      <c r="AA93" s="2716"/>
      <c r="AB93" s="2716"/>
      <c r="AC93" s="2716"/>
      <c r="AD93" s="2716"/>
    </row>
    <row r="94" spans="1:30" ht="15.75" thickBot="1">
      <c r="A94" s="483"/>
      <c r="B94" s="492"/>
      <c r="C94" s="509"/>
      <c r="D94" s="485"/>
      <c r="E94" s="485"/>
      <c r="F94" s="485"/>
      <c r="G94" s="509"/>
      <c r="H94" s="511"/>
      <c r="I94" s="511"/>
      <c r="J94" s="511"/>
      <c r="K94" s="511"/>
      <c r="L94" s="511"/>
      <c r="M94" s="512"/>
      <c r="N94" s="2745"/>
      <c r="O94" s="2745"/>
      <c r="P94" s="2769"/>
      <c r="Q94" s="2730"/>
      <c r="R94" s="2716"/>
      <c r="S94" s="2716"/>
      <c r="T94" s="2716"/>
      <c r="U94" s="2716"/>
      <c r="V94" s="2716"/>
      <c r="W94" s="2716"/>
      <c r="X94" s="2716"/>
      <c r="Y94" s="2716"/>
      <c r="Z94" s="2716"/>
      <c r="AA94" s="2716"/>
      <c r="AB94" s="2716"/>
      <c r="AC94" s="2716"/>
      <c r="AD94" s="2716"/>
    </row>
    <row r="95" spans="1:30" ht="15" thickTop="1">
      <c r="A95" s="548"/>
      <c r="B95" s="584">
        <f>B34</f>
        <v>111</v>
      </c>
      <c r="C95" s="498"/>
      <c r="D95" s="498"/>
      <c r="E95" s="498"/>
      <c r="F95" s="498"/>
      <c r="G95" s="503"/>
      <c r="H95" s="504"/>
      <c r="I95" s="504"/>
      <c r="J95" s="504"/>
      <c r="K95" s="504"/>
      <c r="L95" s="505"/>
      <c r="M95" s="506"/>
      <c r="N95" s="2745"/>
      <c r="O95" s="2745"/>
      <c r="P95" s="2772"/>
      <c r="Q95" s="2759"/>
      <c r="R95" s="2716"/>
      <c r="S95" s="2716"/>
      <c r="T95" s="2716"/>
      <c r="U95" s="2716"/>
      <c r="V95" s="2716"/>
      <c r="W95" s="2716"/>
      <c r="X95" s="2716"/>
      <c r="Y95" s="2716"/>
      <c r="Z95" s="2716"/>
      <c r="AA95" s="2716"/>
      <c r="AB95" s="2716"/>
      <c r="AC95" s="2716"/>
      <c r="AD95" s="2716"/>
    </row>
    <row r="96" spans="1:30" ht="15.75" thickBot="1">
      <c r="A96" s="483"/>
      <c r="B96" s="492"/>
      <c r="C96" s="509"/>
      <c r="D96" s="509"/>
      <c r="E96" s="509"/>
      <c r="F96" s="509"/>
      <c r="G96" s="509"/>
      <c r="H96" s="511"/>
      <c r="I96" s="511"/>
      <c r="J96" s="511"/>
      <c r="K96" s="511"/>
      <c r="L96" s="511"/>
      <c r="M96" s="512"/>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6"/>
      <c r="B98" s="936"/>
      <c r="C98" s="936"/>
      <c r="D98" s="936"/>
      <c r="E98" s="936"/>
      <c r="F98" s="936"/>
      <c r="G98" s="936"/>
      <c r="H98" s="936"/>
      <c r="I98" s="936"/>
      <c r="J98" s="936"/>
      <c r="K98" s="937"/>
      <c r="L98" s="938"/>
      <c r="M98" s="936"/>
      <c r="N98" s="2716"/>
      <c r="O98" s="2716"/>
      <c r="P98" s="2716"/>
      <c r="Q98" s="2716"/>
      <c r="R98" s="2716"/>
      <c r="S98" s="2716"/>
      <c r="T98" s="2716"/>
      <c r="U98" s="2716"/>
      <c r="V98" s="2716"/>
      <c r="W98" s="2716"/>
      <c r="X98" s="2716"/>
      <c r="Y98" s="2716"/>
      <c r="Z98" s="2716"/>
      <c r="AA98" s="2716"/>
      <c r="AB98" s="2716"/>
      <c r="AC98" s="2716"/>
      <c r="AD98" s="2716"/>
    </row>
    <row r="99" spans="1:30">
      <c r="A99" s="936"/>
      <c r="B99" s="936"/>
      <c r="C99" s="936"/>
      <c r="D99" s="936"/>
      <c r="E99" s="936"/>
      <c r="F99" s="936"/>
      <c r="G99" s="936"/>
      <c r="H99" s="936"/>
      <c r="I99" s="936"/>
      <c r="J99" s="936"/>
      <c r="K99" s="937"/>
      <c r="L99" s="938"/>
      <c r="M99" s="936"/>
      <c r="N99" s="2716"/>
      <c r="O99" s="2716"/>
      <c r="P99" s="2716"/>
      <c r="Q99" s="2716"/>
      <c r="R99" s="2716"/>
      <c r="S99" s="2716"/>
      <c r="T99" s="2716"/>
      <c r="U99" s="2716"/>
      <c r="V99" s="2716"/>
      <c r="W99" s="2716"/>
      <c r="X99" s="2716"/>
      <c r="Y99" s="2716"/>
      <c r="Z99" s="2716"/>
      <c r="AA99" s="2716"/>
      <c r="AB99" s="2716"/>
      <c r="AC99" s="2716"/>
      <c r="AD99" s="2716"/>
    </row>
    <row r="100" spans="1:30">
      <c r="A100" s="936"/>
      <c r="B100" s="936"/>
      <c r="C100" s="936"/>
      <c r="D100" s="936"/>
      <c r="E100" s="936"/>
      <c r="F100" s="936"/>
      <c r="G100" s="936"/>
      <c r="H100" s="936"/>
      <c r="I100" s="936"/>
      <c r="J100" s="936"/>
      <c r="K100" s="937"/>
      <c r="L100" s="938"/>
      <c r="M100" s="936"/>
      <c r="N100" s="2716"/>
      <c r="O100" s="2716"/>
      <c r="P100" s="2716"/>
      <c r="Q100" s="2716"/>
      <c r="R100" s="2716"/>
      <c r="S100" s="2716"/>
      <c r="T100" s="2716"/>
      <c r="U100" s="2716"/>
      <c r="V100" s="2716"/>
      <c r="W100" s="2716"/>
      <c r="X100" s="2716"/>
      <c r="Y100" s="2716"/>
      <c r="Z100" s="2716"/>
      <c r="AA100" s="2716"/>
      <c r="AB100" s="2716"/>
      <c r="AC100" s="2716"/>
      <c r="AD100" s="2716"/>
    </row>
    <row r="101" spans="1:30">
      <c r="A101" s="936"/>
      <c r="B101" s="936"/>
      <c r="C101" s="936"/>
      <c r="D101" s="936"/>
      <c r="E101" s="936"/>
      <c r="F101" s="936"/>
      <c r="G101" s="936"/>
      <c r="H101" s="936"/>
      <c r="I101" s="936"/>
      <c r="J101" s="936"/>
      <c r="K101" s="937"/>
      <c r="L101" s="938"/>
      <c r="M101" s="936"/>
      <c r="N101" s="2716"/>
      <c r="O101" s="2716"/>
      <c r="P101" s="2716"/>
      <c r="Q101" s="2716"/>
      <c r="R101" s="2716"/>
      <c r="S101" s="2716"/>
      <c r="T101" s="2716"/>
      <c r="U101" s="2716"/>
      <c r="V101" s="2716"/>
      <c r="W101" s="2716"/>
      <c r="X101" s="2716"/>
      <c r="Y101" s="2716"/>
      <c r="Z101" s="2716"/>
      <c r="AA101" s="2716"/>
      <c r="AB101" s="2716"/>
      <c r="AC101" s="2716"/>
      <c r="AD101" s="2716"/>
    </row>
    <row r="102" spans="1:30">
      <c r="A102" s="936"/>
      <c r="B102" s="936"/>
      <c r="C102" s="936"/>
      <c r="D102" s="936"/>
      <c r="E102" s="936"/>
      <c r="F102" s="936"/>
      <c r="G102" s="936"/>
      <c r="H102" s="936"/>
      <c r="I102" s="936"/>
      <c r="J102" s="936"/>
      <c r="K102" s="937"/>
      <c r="L102" s="938"/>
      <c r="M102" s="936"/>
      <c r="N102" s="2716"/>
      <c r="O102" s="2716"/>
      <c r="P102" s="2716"/>
      <c r="Q102" s="2716"/>
      <c r="R102" s="2716"/>
      <c r="S102" s="2716"/>
      <c r="T102" s="2716"/>
      <c r="U102" s="2716"/>
      <c r="V102" s="2716"/>
      <c r="W102" s="2716"/>
      <c r="X102" s="2716"/>
      <c r="Y102" s="2716"/>
      <c r="Z102" s="2716"/>
      <c r="AA102" s="2716"/>
      <c r="AB102" s="2716"/>
      <c r="AC102" s="2716"/>
      <c r="AD102" s="2716"/>
    </row>
    <row r="103" spans="1:30">
      <c r="A103" s="936"/>
      <c r="B103" s="936"/>
      <c r="C103" s="936"/>
      <c r="D103" s="936"/>
      <c r="E103" s="936"/>
      <c r="F103" s="936"/>
      <c r="G103" s="936"/>
      <c r="H103" s="936"/>
      <c r="I103" s="936"/>
      <c r="J103" s="936"/>
      <c r="K103" s="937"/>
      <c r="L103" s="938"/>
      <c r="M103" s="936"/>
      <c r="N103" s="936"/>
      <c r="O103" s="936"/>
      <c r="P103" s="2716"/>
      <c r="Q103" s="2716"/>
      <c r="R103" s="2716"/>
      <c r="S103" s="2716"/>
      <c r="T103" s="2716"/>
      <c r="U103" s="2716"/>
      <c r="V103" s="2716"/>
      <c r="W103" s="2716"/>
      <c r="X103" s="2716"/>
      <c r="Y103" s="2716"/>
      <c r="Z103" s="2716"/>
      <c r="AA103" s="2716"/>
      <c r="AB103" s="2716"/>
      <c r="AC103" s="2716"/>
      <c r="AD103" s="2716"/>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813" t="s">
        <v>2080</v>
      </c>
      <c r="D1" s="3814"/>
      <c r="E1" s="3814"/>
      <c r="F1" s="3814"/>
      <c r="G1" s="3814"/>
      <c r="H1" s="3814"/>
      <c r="I1" s="3814"/>
      <c r="J1" s="3814"/>
      <c r="K1" s="3814"/>
      <c r="L1" s="3814"/>
      <c r="M1" s="3814"/>
      <c r="N1" s="3814"/>
      <c r="O1" s="3814"/>
      <c r="P1" s="3814"/>
      <c r="Q1" s="3814"/>
      <c r="R1" s="3814"/>
      <c r="S1" s="3815"/>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6"/>
      <c r="G4" s="1306"/>
      <c r="H4" s="1306"/>
      <c r="I4" s="1306"/>
      <c r="J4" s="1306"/>
      <c r="K4" s="1306"/>
      <c r="L4" s="1306"/>
      <c r="M4" s="1307"/>
      <c r="N4" s="1307"/>
      <c r="O4" s="1306"/>
      <c r="P4" s="1306"/>
      <c r="Q4" s="1306"/>
      <c r="R4" s="1306"/>
      <c r="S4" s="1308"/>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3" t="s">
        <v>2083</v>
      </c>
      <c r="C5" s="995"/>
      <c r="D5" s="996"/>
      <c r="E5" s="996"/>
      <c r="F5" s="1309"/>
      <c r="G5" s="1309"/>
      <c r="H5" s="1309"/>
      <c r="I5" s="1309"/>
      <c r="J5" s="1309"/>
      <c r="K5" s="1309"/>
      <c r="L5" s="1310"/>
      <c r="M5" s="1311"/>
      <c r="N5" s="1311"/>
      <c r="O5" s="1309"/>
      <c r="P5" s="1309"/>
      <c r="Q5" s="1309"/>
      <c r="R5" s="1309"/>
      <c r="S5" s="1312"/>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4" t="s">
        <v>2084</v>
      </c>
      <c r="C7" s="904"/>
      <c r="D7" s="898"/>
      <c r="E7" s="898"/>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4" t="s">
        <v>2085</v>
      </c>
      <c r="C9" s="904"/>
      <c r="D9" s="898"/>
      <c r="E9" s="898"/>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3"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3"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3"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1" t="s">
        <v>2089</v>
      </c>
      <c r="B17" s="2142"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3" t="s">
        <v>2091</v>
      </c>
      <c r="E19" s="1337"/>
      <c r="F19" s="1337"/>
      <c r="G19" s="1337"/>
      <c r="H19" s="1059"/>
      <c r="I19" s="159"/>
      <c r="J19" s="159"/>
      <c r="K19" s="159"/>
      <c r="L19" s="159"/>
      <c r="M19" s="159"/>
      <c r="N19" s="159"/>
      <c r="O19" s="159"/>
      <c r="P19" s="159"/>
      <c r="Q19" s="159"/>
      <c r="R19" s="718"/>
      <c r="S19" s="129"/>
    </row>
    <row r="20" spans="1:45" ht="16.5" thickBot="1">
      <c r="A20" s="662" t="s">
        <v>2092</v>
      </c>
      <c r="B20" s="294" t="e">
        <f ca="1">IF(D20="——",S22,S22-F20)</f>
        <v>#REF!</v>
      </c>
      <c r="C20" s="159"/>
      <c r="D20" s="2144"/>
      <c r="E20" s="1338"/>
      <c r="F20" s="983" t="e">
        <f ca="1">SUMIF(INDIRECT("'"&amp;H20&amp;"'"&amp;"!A:A"),"承租人权益价值",INDIRECT("'"&amp;H20&amp;"'"&amp;"!c:c"))</f>
        <v>#REF!</v>
      </c>
      <c r="G20" s="983" t="s">
        <v>2093</v>
      </c>
      <c r="H20" s="2145"/>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810" t="s">
        <v>27</v>
      </c>
      <c r="D22" s="3811"/>
      <c r="E22" s="3811"/>
      <c r="F22" s="3811"/>
      <c r="G22" s="3811"/>
      <c r="H22" s="3811"/>
      <c r="I22" s="3811"/>
      <c r="J22" s="3811"/>
      <c r="K22" s="3811"/>
      <c r="L22" s="3811"/>
      <c r="M22" s="3811"/>
      <c r="N22" s="3811"/>
      <c r="O22" s="3811"/>
      <c r="P22" s="3811"/>
      <c r="Q22" s="3812"/>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01">
        <v>1</v>
      </c>
      <c r="D24" s="2802"/>
      <c r="E24" s="2801">
        <v>1</v>
      </c>
      <c r="F24" s="2802"/>
      <c r="G24" s="2801">
        <v>1</v>
      </c>
      <c r="H24" s="2802"/>
      <c r="I24" s="2801">
        <v>1</v>
      </c>
      <c r="J24" s="2802"/>
      <c r="K24" s="2801">
        <v>1</v>
      </c>
      <c r="L24" s="2802"/>
      <c r="M24" s="2801">
        <v>1</v>
      </c>
      <c r="N24" s="2802"/>
      <c r="O24" s="2801">
        <v>1</v>
      </c>
      <c r="P24" s="2802"/>
      <c r="Q24" s="2801">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2077</v>
      </c>
      <c r="B1" s="2140"/>
      <c r="C1" s="2140"/>
      <c r="D1" s="2140"/>
      <c r="E1" s="2140"/>
      <c r="F1" s="2784"/>
      <c r="G1" s="2784"/>
      <c r="H1" s="2784"/>
      <c r="I1" s="2784"/>
      <c r="J1" s="2784"/>
      <c r="K1" s="2784"/>
      <c r="L1" s="2784"/>
      <c r="M1" s="2784"/>
      <c r="N1" s="2784"/>
      <c r="O1" s="2784"/>
      <c r="P1" s="2784"/>
    </row>
    <row r="2" spans="1:16" ht="15.75">
      <c r="A2" s="2138" t="s">
        <v>2069</v>
      </c>
      <c r="B2" s="2593" t="e">
        <f ca="1">SUMIF(B6:B13,"&lt;&gt;#ref!",B6:B13)</f>
        <v>#DIV/0!</v>
      </c>
      <c r="C2" s="2138" t="s">
        <v>2070</v>
      </c>
      <c r="D2" s="2138" t="s">
        <v>2071</v>
      </c>
      <c r="E2" s="2603">
        <f ca="1">SUMIF(E6:E13,"&lt;&gt;#ref!",E6:E13)</f>
        <v>0</v>
      </c>
      <c r="F2" s="2784"/>
      <c r="G2" s="2784"/>
      <c r="H2" s="2784"/>
      <c r="I2" s="2784"/>
      <c r="J2" s="2784"/>
      <c r="K2" s="2784"/>
      <c r="L2" s="2784"/>
      <c r="M2" s="2784"/>
      <c r="N2" s="2784"/>
      <c r="O2" s="2784"/>
      <c r="P2" s="2784"/>
    </row>
    <row r="3" spans="1:16" ht="15.75">
      <c r="A3" s="2138" t="s">
        <v>2072</v>
      </c>
      <c r="B3" s="2593" t="e">
        <f ca="1">ROUND(B2*10000/E2,0)</f>
        <v>#DIV/0!</v>
      </c>
      <c r="C3" s="2138" t="s">
        <v>2078</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2073</v>
      </c>
      <c r="B5" s="2601" t="s">
        <v>2074</v>
      </c>
      <c r="C5" s="2139"/>
      <c r="D5" s="2784"/>
      <c r="E5" s="2602" t="s">
        <v>2075</v>
      </c>
      <c r="F5" s="2784"/>
      <c r="G5" s="2784"/>
      <c r="H5" s="2784"/>
      <c r="I5" s="2784"/>
      <c r="J5" s="2784"/>
      <c r="K5" s="2784"/>
      <c r="L5" s="2784"/>
      <c r="M5" s="2784"/>
      <c r="N5" s="2784"/>
      <c r="O5" s="2784"/>
      <c r="P5" s="2784"/>
    </row>
    <row r="6" spans="1:16" ht="15.75">
      <c r="A6" s="2600" t="s">
        <v>2076</v>
      </c>
      <c r="B6" s="2593" t="e">
        <f ca="1">SUMIF(INDIRECT("'"&amp;A6&amp;"'"&amp;"!A:A"),"总价",INDIRECT("'"&amp;A6&amp;"'"&amp;"!B:B"))</f>
        <v>#DIV/0!</v>
      </c>
      <c r="C6" s="2138" t="s">
        <v>2070</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8" t="s">
        <v>2070</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8" t="s">
        <v>2070</v>
      </c>
      <c r="D8" s="2784"/>
      <c r="E8" s="2603" t="e">
        <f t="shared" ca="1" si="0"/>
        <v>#REF!</v>
      </c>
      <c r="F8" s="2784"/>
      <c r="G8" s="2784"/>
      <c r="H8" s="2784"/>
      <c r="I8" s="2784"/>
      <c r="J8" s="2784"/>
      <c r="K8" s="2784"/>
      <c r="L8" s="2784"/>
      <c r="M8" s="2784"/>
      <c r="N8" s="2784"/>
      <c r="O8" s="2784"/>
      <c r="P8" s="2784"/>
    </row>
    <row r="9" spans="1:16" ht="15.75">
      <c r="A9" s="2600"/>
      <c r="B9" s="2593" t="e">
        <f t="shared" ca="1" si="1"/>
        <v>#REF!</v>
      </c>
      <c r="C9" s="2138" t="s">
        <v>2070</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8" t="s">
        <v>2070</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8" t="s">
        <v>2070</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8" t="s">
        <v>2070</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8" t="s">
        <v>2070</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21" sqref="F21"/>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21" customWidth="1"/>
    <col min="33" max="36" width="9.375" style="2046" customWidth="1"/>
    <col min="37" max="38" width="9.375" style="1991" customWidth="1"/>
    <col min="39" max="16384" width="12" style="1991"/>
  </cols>
  <sheetData>
    <row r="1" spans="1:36" ht="28.5">
      <c r="A1" s="196" t="s">
        <v>1922</v>
      </c>
      <c r="B1" s="197"/>
      <c r="C1" s="201" t="s">
        <v>1923</v>
      </c>
      <c r="D1" s="342">
        <f>SUM(D33:D34,D37:D42)</f>
        <v>0</v>
      </c>
      <c r="E1" s="1988"/>
      <c r="F1" s="1988"/>
      <c r="G1" s="1988"/>
      <c r="H1" s="1988"/>
      <c r="I1" s="1988"/>
      <c r="J1" s="1988"/>
      <c r="K1" s="1119"/>
      <c r="L1" s="1989" t="s">
        <v>1924</v>
      </c>
      <c r="M1" s="863">
        <f>SUMPRODUCT((区片价!B5:B9=I2)*(区片价!C3:G3=E2)*(区片价!C5:G9))</f>
        <v>0</v>
      </c>
      <c r="N1" s="866">
        <f>SUMPRODUCT((因素修正幅度!B5:B9=I2)*(因素修正幅度!C3:G3=E2)*(因素修正幅度!C5:G9))</f>
        <v>0</v>
      </c>
      <c r="O1" s="1990"/>
      <c r="P1" s="1990"/>
      <c r="Q1" s="1119"/>
      <c r="R1" s="1209" t="s">
        <v>1925</v>
      </c>
      <c r="S1" s="1209" t="s">
        <v>1926</v>
      </c>
      <c r="T1" s="1209" t="s">
        <v>1927</v>
      </c>
      <c r="U1" s="1209" t="s">
        <v>1928</v>
      </c>
      <c r="V1" s="1209" t="s">
        <v>1929</v>
      </c>
      <c r="W1" s="1213"/>
      <c r="X1" s="1213"/>
      <c r="Y1" s="1213"/>
      <c r="Z1" s="1213"/>
      <c r="AA1" s="1213"/>
      <c r="AB1" s="1213"/>
      <c r="AC1" s="1214"/>
      <c r="AD1" s="1215"/>
      <c r="AE1" s="1215"/>
      <c r="AF1" s="1215"/>
      <c r="AG1" s="1215"/>
      <c r="AH1" s="1215"/>
      <c r="AI1" s="1215"/>
      <c r="AJ1" s="1216"/>
    </row>
    <row r="2" spans="1:36" ht="15.75">
      <c r="A2" s="201" t="s">
        <v>1930</v>
      </c>
      <c r="B2" s="204" t="e">
        <f>C30</f>
        <v>#DIV/0!</v>
      </c>
      <c r="C2" s="1992" t="s">
        <v>1931</v>
      </c>
      <c r="D2" s="1993" t="s">
        <v>1932</v>
      </c>
      <c r="E2" s="3413" t="s">
        <v>3</v>
      </c>
      <c r="F2" s="1993" t="s">
        <v>1933</v>
      </c>
      <c r="G2" s="1994">
        <f>IF(E2="商业",项目基本情况!B37,IF(E2="办公",项目基本情况!C37,IF(E2="住宅",项目基本情况!D37,IF(E2="工业",项目基本情况!E37,项目基本情况!F37))))</f>
        <v>0</v>
      </c>
      <c r="H2" s="1993" t="s">
        <v>1934</v>
      </c>
      <c r="I2" s="1994">
        <f>IF(E2="商业",项目基本情况!B38,IF(E2="办公",项目基本情况!C38,IF(E2="住宅",项目基本情况!D38,IF(E2="工业",项目基本情况!E38,项目基本情况!F38))))</f>
        <v>0</v>
      </c>
      <c r="J2" s="1995"/>
      <c r="K2" s="1119"/>
      <c r="L2" s="1996" t="s">
        <v>1935</v>
      </c>
      <c r="M2" s="864">
        <f>SUMPRODUCT((区片价!B10:B29=I2)*(区片价!C3:G3=E2)*(区片价!C10:G29))</f>
        <v>0</v>
      </c>
      <c r="N2" s="866">
        <f>SUMPRODUCT((因素修正幅度!B10:B29=I2)*(因素修正幅度!C3:G3=E2)*(因素修正幅度!C10:G29))</f>
        <v>0</v>
      </c>
      <c r="O2" s="1119"/>
      <c r="P2" s="1119"/>
      <c r="Q2" s="1119"/>
      <c r="R2" s="1209">
        <v>1</v>
      </c>
      <c r="S2" s="3352">
        <f>ROUND(SUMPRODUCT((B106:B110=R2)*(C105:N105=G2)*(C106:N110)),4)</f>
        <v>0</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1936</v>
      </c>
      <c r="B3" s="204" t="e">
        <f>ROUND(B2*10000/D1,0)</f>
        <v>#DIV/0!</v>
      </c>
      <c r="C3" s="1992" t="s">
        <v>1937</v>
      </c>
      <c r="D3" s="1993" t="s">
        <v>1938</v>
      </c>
      <c r="E3" s="3411" t="s">
        <v>2475</v>
      </c>
      <c r="F3" s="1997" t="s">
        <v>3478</v>
      </c>
      <c r="G3" s="752">
        <f>IF(F3="宗地容积率",'数据-汇总表'!I4,IF(F3="估价对象容积率",'数据-汇总表'!I6,'数据-汇总表'!I7))</f>
        <v>2</v>
      </c>
      <c r="H3" s="170" t="s">
        <v>1939</v>
      </c>
      <c r="I3" s="775"/>
      <c r="J3" s="1995" t="s">
        <v>1940</v>
      </c>
      <c r="K3" s="1119"/>
      <c r="L3" s="1996" t="s">
        <v>1941</v>
      </c>
      <c r="M3" s="864">
        <f>SUMPRODUCT((区片价!B30:B54=I2)*(区片价!C3:G3=E2)*(区片价!C30:G54))</f>
        <v>0</v>
      </c>
      <c r="N3" s="866">
        <f>SUMPRODUCT((因素修正幅度!B30:B54=I2)*(因素修正幅度!C3:G3=E2)*(因素修正幅度!C30:G54))</f>
        <v>0</v>
      </c>
      <c r="O3" s="1119"/>
      <c r="P3" s="1119"/>
      <c r="Q3" s="1119"/>
      <c r="R3" s="1209">
        <v>2</v>
      </c>
      <c r="S3" s="3352">
        <f>ROUND(SUMPRODUCT((B106:B110=R3)*(C105:N105=G2)*(C106:N110)),4)</f>
        <v>0</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823"/>
      <c r="B4" s="3824"/>
      <c r="C4" s="3824"/>
      <c r="D4" s="3825"/>
      <c r="E4" s="3825"/>
      <c r="F4" s="3825"/>
      <c r="G4" s="3825"/>
      <c r="H4" s="3825"/>
      <c r="I4" s="3825"/>
      <c r="J4" s="3826"/>
      <c r="K4" s="1119"/>
      <c r="L4" s="1996" t="s">
        <v>1942</v>
      </c>
      <c r="M4" s="864">
        <f>SUMPRODUCT((区片价!B55:B86=I2)*(区片价!C3:G3=E2)*(区片价!C55:G86))</f>
        <v>0</v>
      </c>
      <c r="N4" s="866">
        <f>SUMPRODUCT((因素修正幅度!B55:B86=I2)*(因素修正幅度!C3:G3=E2)*(因素修正幅度!C55:G86))</f>
        <v>0</v>
      </c>
      <c r="O4" s="1119"/>
      <c r="P4" s="1119"/>
      <c r="Q4" s="1119"/>
      <c r="R4" s="1209">
        <v>3</v>
      </c>
      <c r="S4" s="3352">
        <f>ROUND(SUMPRODUCT((B106:B110=R4)*(C105:N105=G2)*(C106:N110)),4)</f>
        <v>0</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07" customFormat="1" ht="15.75" thickBot="1">
      <c r="A5" s="1998" t="s">
        <v>362</v>
      </c>
      <c r="B5" s="1999" t="s">
        <v>1943</v>
      </c>
      <c r="C5" s="753">
        <f>ROUND(IF(E2="商业",C6*C7*C17+C20,(IF(E2="住宅",C6*C13*C17+C20,IF(E2="办公",C6*C12*C17+C20,C6+C20)))),0)</f>
        <v>0</v>
      </c>
      <c r="D5" s="1336">
        <f>ROUND(C6*C17+C20,0)</f>
        <v>0</v>
      </c>
      <c r="E5" s="1336"/>
      <c r="F5" s="2000"/>
      <c r="G5" s="2001"/>
      <c r="H5" s="2001"/>
      <c r="I5" s="2001"/>
      <c r="J5" s="2002"/>
      <c r="K5" s="2003"/>
      <c r="L5" s="1996" t="s">
        <v>1944</v>
      </c>
      <c r="M5" s="864">
        <f>SUMPRODUCT((区片价!B87:B126=I2)*(区片价!C3:G3=E2)*(区片价!C87:G126))</f>
        <v>0</v>
      </c>
      <c r="N5" s="866">
        <f>SUMPRODUCT((因素修正幅度!B87:B126=I2)*(因素修正幅度!C3:G3=E2)*(因素修正幅度!C87:G126))</f>
        <v>0</v>
      </c>
      <c r="O5" s="1119"/>
      <c r="P5" s="1119"/>
      <c r="Q5" s="1119"/>
      <c r="R5" s="1209">
        <v>4</v>
      </c>
      <c r="S5" s="3352">
        <f>ROUND(SUMPRODUCT((B106:B110=R5)*(C105:N105=G2)*(C106:N110)),4)</f>
        <v>0</v>
      </c>
      <c r="T5" s="3352" t="e">
        <f t="shared" si="0"/>
        <v>#DIV/0!</v>
      </c>
      <c r="U5" s="1210"/>
      <c r="V5" s="3352" t="e">
        <f t="shared" si="1"/>
        <v>#DIV/0!</v>
      </c>
      <c r="W5" s="1213"/>
      <c r="X5" s="1213"/>
      <c r="Y5" s="1213"/>
      <c r="Z5" s="1213"/>
      <c r="AA5" s="1213"/>
      <c r="AB5" s="1213"/>
      <c r="AC5" s="2004"/>
      <c r="AD5" s="2005"/>
      <c r="AE5" s="2005"/>
      <c r="AF5" s="2005"/>
      <c r="AG5" s="2005"/>
      <c r="AH5" s="2005"/>
      <c r="AI5" s="2005"/>
      <c r="AJ5" s="2006"/>
    </row>
    <row r="6" spans="1:36" ht="15.75" thickBot="1">
      <c r="A6" s="2008" t="s">
        <v>1945</v>
      </c>
      <c r="B6" s="2009" t="s">
        <v>1946</v>
      </c>
      <c r="C6" s="754">
        <f>SUMIF(L1:L12,G2,M1:M12)</f>
        <v>0</v>
      </c>
      <c r="D6" s="2010"/>
      <c r="E6" s="2011"/>
      <c r="F6" s="2011"/>
      <c r="G6" s="2012"/>
      <c r="H6" s="2012"/>
      <c r="I6" s="2012"/>
      <c r="J6" s="2013"/>
      <c r="K6" s="1381"/>
      <c r="L6" s="1996" t="s">
        <v>1947</v>
      </c>
      <c r="M6" s="864">
        <f>SUMPRODUCT((区片价!B127:B189=I2)*(区片价!C3:G3=E2)*(区片价!C127:G189))</f>
        <v>0</v>
      </c>
      <c r="N6" s="866">
        <f>SUMPRODUCT((因素修正幅度!B127:B189=I2)*(因素修正幅度!C3:G3=E2)*(因素修正幅度!C127:G189))</f>
        <v>0</v>
      </c>
      <c r="O6" s="1119"/>
      <c r="P6" s="1119"/>
      <c r="Q6" s="1119"/>
      <c r="R6" s="1209">
        <v>5</v>
      </c>
      <c r="S6" s="3352">
        <f>ROUND(SUMPRODUCT((B106:B110=R6)*(C105:N105=G2)*(C106:N110)),4)</f>
        <v>0</v>
      </c>
      <c r="T6" s="3352" t="e">
        <f t="shared" si="0"/>
        <v>#DIV/0!</v>
      </c>
      <c r="U6" s="1210"/>
      <c r="V6" s="3352" t="e">
        <f t="shared" si="1"/>
        <v>#DIV/0!</v>
      </c>
      <c r="W6" s="1213"/>
      <c r="X6" s="1213"/>
      <c r="Y6" s="1213"/>
      <c r="Z6" s="1213"/>
      <c r="AA6" s="1213"/>
      <c r="AB6" s="1213"/>
      <c r="AC6" s="2004"/>
      <c r="AD6" s="2005"/>
      <c r="AE6" s="2005"/>
      <c r="AF6" s="2005"/>
      <c r="AG6" s="2005"/>
      <c r="AH6" s="2005"/>
      <c r="AI6" s="2005"/>
      <c r="AJ6" s="2006"/>
    </row>
    <row r="7" spans="1:36" ht="24.75" thickBot="1">
      <c r="A7" s="3295" t="s">
        <v>3235</v>
      </c>
      <c r="B7" s="2014" t="s">
        <v>1948</v>
      </c>
      <c r="C7" s="755" t="e">
        <f>IF(C8="不临65条商业街",1,ROUND(1+(1.6*E8+1.2*E9+0.8*E10+0.4*E11)*C9,4))</f>
        <v>#DIV/0!</v>
      </c>
      <c r="D7" s="2015" t="s">
        <v>1949</v>
      </c>
      <c r="E7" s="776"/>
      <c r="F7" s="2016"/>
      <c r="G7" s="2017"/>
      <c r="H7" s="2017"/>
      <c r="I7" s="2017"/>
      <c r="J7" s="2018"/>
      <c r="K7" s="1381"/>
      <c r="L7" s="1996" t="s">
        <v>1950</v>
      </c>
      <c r="M7" s="864">
        <f>SUMPRODUCT((区片价!B190:B233=I2)*(区片价!C3:G3=E2)*(区片价!C190:G233))</f>
        <v>0</v>
      </c>
      <c r="N7" s="866">
        <f>SUMPRODUCT((因素修正幅度!B190:B233=I2)*(因素修正幅度!C3:G3=E2)*(因素修正幅度!C190:G233))</f>
        <v>0</v>
      </c>
      <c r="O7" s="1119"/>
      <c r="P7" s="1119"/>
      <c r="Q7" s="1119"/>
      <c r="R7" s="1209">
        <v>6</v>
      </c>
      <c r="S7" s="3410"/>
      <c r="T7" s="3352" t="e">
        <f t="shared" si="0"/>
        <v>#DIV/0!</v>
      </c>
      <c r="U7" s="1210"/>
      <c r="V7" s="3352" t="e">
        <f t="shared" si="1"/>
        <v>#DIV/0!</v>
      </c>
      <c r="W7" s="1355" t="s">
        <v>1951</v>
      </c>
      <c r="X7" s="1211">
        <f>G2</f>
        <v>0</v>
      </c>
      <c r="Y7" s="1211" t="s">
        <v>1952</v>
      </c>
      <c r="Z7" s="1212">
        <f>G3</f>
        <v>2</v>
      </c>
      <c r="AA7" s="1213"/>
      <c r="AB7" s="1213"/>
      <c r="AC7" s="1214"/>
      <c r="AD7" s="1215"/>
      <c r="AE7" s="1215"/>
      <c r="AF7" s="1215"/>
      <c r="AG7" s="1215"/>
      <c r="AH7" s="1215"/>
      <c r="AI7" s="1215"/>
      <c r="AJ7" s="1216"/>
    </row>
    <row r="8" spans="1:36" ht="15">
      <c r="A8" s="3290"/>
      <c r="B8" s="170" t="s">
        <v>1953</v>
      </c>
      <c r="C8" s="2019"/>
      <c r="D8" s="756" t="s">
        <v>112</v>
      </c>
      <c r="E8" s="757" t="e">
        <f>ROUND(C11/E7,4)</f>
        <v>#DIV/0!</v>
      </c>
      <c r="F8" s="2020" t="s">
        <v>1954</v>
      </c>
      <c r="G8" s="2021"/>
      <c r="H8" s="2021"/>
      <c r="I8" s="2021"/>
      <c r="J8" s="2022"/>
      <c r="K8" s="1119"/>
      <c r="L8" s="1996" t="s">
        <v>1955</v>
      </c>
      <c r="M8" s="864">
        <f>SUMPRODUCT((区片价!B234:B276=I2)*(区片价!C3:G3=E2)*(区片价!C234:G276))</f>
        <v>0</v>
      </c>
      <c r="N8" s="866">
        <f>SUMPRODUCT((因素修正幅度!B234:B276=I2)*(因素修正幅度!C3:G3=E2)*(因素修正幅度!C234:G276))</f>
        <v>0</v>
      </c>
      <c r="O8" s="1119"/>
      <c r="P8" s="1119"/>
      <c r="Q8" s="1119"/>
      <c r="R8" s="1209">
        <v>7</v>
      </c>
      <c r="S8" s="1210"/>
      <c r="T8" s="3352" t="e">
        <f t="shared" si="0"/>
        <v>#DIV/0!</v>
      </c>
      <c r="U8" s="1210"/>
      <c r="V8" s="3352" t="e">
        <f t="shared" si="1"/>
        <v>#DIV/0!</v>
      </c>
      <c r="W8" s="3820" t="s">
        <v>1956</v>
      </c>
      <c r="X8" s="3821"/>
      <c r="Y8" s="1217" t="s">
        <v>1957</v>
      </c>
      <c r="Z8" s="1217" t="s">
        <v>1958</v>
      </c>
      <c r="AA8" s="1217" t="s">
        <v>1959</v>
      </c>
      <c r="AB8" s="1217" t="s">
        <v>1960</v>
      </c>
      <c r="AC8" s="1217" t="s">
        <v>1961</v>
      </c>
      <c r="AD8" s="1217" t="s">
        <v>1962</v>
      </c>
      <c r="AE8" s="1217" t="s">
        <v>1963</v>
      </c>
      <c r="AF8" s="1217" t="s">
        <v>1964</v>
      </c>
      <c r="AG8" s="1217" t="s">
        <v>1965</v>
      </c>
      <c r="AH8" s="1217" t="s">
        <v>1966</v>
      </c>
      <c r="AI8" s="1217" t="s">
        <v>1967</v>
      </c>
      <c r="AJ8" s="1217" t="s">
        <v>1968</v>
      </c>
    </row>
    <row r="9" spans="1:36" ht="15">
      <c r="A9" s="3290"/>
      <c r="B9" s="170" t="s">
        <v>1969</v>
      </c>
      <c r="C9" s="758">
        <f>SUMIF(修正!C71:C138,C8,修正!E71:E138)</f>
        <v>0</v>
      </c>
      <c r="D9" s="171" t="s">
        <v>113</v>
      </c>
      <c r="E9" s="171" t="e">
        <f>ROUND(C11/E7,4)</f>
        <v>#DIV/0!</v>
      </c>
      <c r="F9" s="2020" t="s">
        <v>1970</v>
      </c>
      <c r="G9" s="2021"/>
      <c r="H9" s="2021"/>
      <c r="I9" s="2021"/>
      <c r="J9" s="2022"/>
      <c r="K9" s="1119"/>
      <c r="L9" s="1996" t="s">
        <v>1971</v>
      </c>
      <c r="M9" s="864">
        <f>SUMPRODUCT((区片价!B277:B326=I2)*(区片价!C3:G3=E2)*(区片价!C277:G326))</f>
        <v>0</v>
      </c>
      <c r="N9" s="866">
        <f>SUMPRODUCT((因素修正幅度!B277:B326=I2)*(因素修正幅度!C3:G3=E2)*(因素修正幅度!C277:G326))</f>
        <v>0</v>
      </c>
      <c r="O9" s="1119"/>
      <c r="P9" s="1119"/>
      <c r="Q9" s="1119"/>
      <c r="R9" s="1209">
        <v>8</v>
      </c>
      <c r="S9" s="1210"/>
      <c r="T9" s="3352" t="e">
        <f t="shared" si="0"/>
        <v>#DIV/0!</v>
      </c>
      <c r="U9" s="1210"/>
      <c r="V9" s="3352" t="e">
        <f t="shared" si="1"/>
        <v>#DIV/0!</v>
      </c>
      <c r="W9" s="3822"/>
      <c r="X9" s="3353" t="s">
        <v>3266</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1972</v>
      </c>
      <c r="C10" s="171">
        <f>SUMIF(修正!C71:C138,C8,修正!F71:F138)</f>
        <v>0</v>
      </c>
      <c r="D10" s="171" t="s">
        <v>114</v>
      </c>
      <c r="E10" s="171" t="e">
        <f>ROUND(C11/E7,4)</f>
        <v>#DIV/0!</v>
      </c>
      <c r="F10" s="2020" t="s">
        <v>1973</v>
      </c>
      <c r="G10" s="2021"/>
      <c r="H10" s="2021"/>
      <c r="I10" s="2021"/>
      <c r="J10" s="2022"/>
      <c r="K10" s="1119"/>
      <c r="L10" s="1996" t="s">
        <v>1974</v>
      </c>
      <c r="M10" s="864">
        <f>SUMPRODUCT((区片价!B327:B357=I2)*(区片价!C3:G3=E2)*(区片价!C327:G357))</f>
        <v>0</v>
      </c>
      <c r="N10" s="866">
        <f>SUMPRODUCT((因素修正幅度!B327:B357=I2)*(因素修正幅度!C3:G3=E2)*(因素修正幅度!C327:G357))</f>
        <v>0</v>
      </c>
      <c r="O10" s="1119"/>
      <c r="P10" s="1119"/>
      <c r="Q10" s="1119"/>
      <c r="R10" s="1209">
        <v>9</v>
      </c>
      <c r="S10" s="1210"/>
      <c r="T10" s="3352" t="e">
        <f t="shared" si="0"/>
        <v>#DIV/0!</v>
      </c>
      <c r="U10" s="1210"/>
      <c r="V10" s="3352" t="e">
        <f t="shared" si="1"/>
        <v>#DIV/0!</v>
      </c>
      <c r="W10" s="3822"/>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3" t="s">
        <v>1975</v>
      </c>
      <c r="C11" s="759">
        <f>C10/4</f>
        <v>0</v>
      </c>
      <c r="D11" s="759" t="s">
        <v>115</v>
      </c>
      <c r="E11" s="759" t="e">
        <f>ROUND(C11/E7,4)</f>
        <v>#DIV/0!</v>
      </c>
      <c r="F11" s="2024" t="s">
        <v>1976</v>
      </c>
      <c r="G11" s="2025"/>
      <c r="H11" s="2025"/>
      <c r="I11" s="2025"/>
      <c r="J11" s="2026"/>
      <c r="K11" s="1119"/>
      <c r="L11" s="1996" t="s">
        <v>1977</v>
      </c>
      <c r="M11" s="864">
        <f>SUMPRODUCT((区片价!B358:B377=I2)*(区片价!C3:G3=E2)*(区片价!C358:G377))</f>
        <v>0</v>
      </c>
      <c r="N11" s="866">
        <f>SUMPRODUCT((因素修正幅度!B358:B377=I2)*(因素修正幅度!C3:G3=E2)*(因素修正幅度!C358:G377))</f>
        <v>0</v>
      </c>
      <c r="O11" s="1119"/>
      <c r="P11" s="1119"/>
      <c r="Q11" s="1119"/>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3236</v>
      </c>
      <c r="B12" s="3296" t="s">
        <v>3237</v>
      </c>
      <c r="C12" s="3297"/>
      <c r="D12" s="3298" t="s">
        <v>3238</v>
      </c>
      <c r="E12" s="3299" t="s">
        <v>3239</v>
      </c>
      <c r="F12" s="3300"/>
      <c r="G12" s="3301"/>
      <c r="H12" s="3301"/>
      <c r="I12" s="3301"/>
      <c r="J12" s="3302"/>
      <c r="K12" s="1119"/>
      <c r="L12" s="2032" t="s">
        <v>1980</v>
      </c>
      <c r="M12" s="865">
        <f>SUMPRODUCT((区片价!B378:B384=I2)*(区片价!C3:G3=E2)*(区片价!C378:G384))</f>
        <v>0</v>
      </c>
      <c r="N12" s="866">
        <f>SUMPRODUCT((因素修正幅度!B378:B384=I2)*(因素修正幅度!C3:G3=E2)*(因素修正幅度!C378:G384))</f>
        <v>0</v>
      </c>
      <c r="O12" s="1119"/>
      <c r="P12" s="1119"/>
      <c r="Q12" s="1119"/>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3240</v>
      </c>
      <c r="B13" s="2027" t="s">
        <v>1978</v>
      </c>
      <c r="C13" s="755">
        <f>ROUND(C16*D16*E16*F16*G16*H16*I16*J16,4)</f>
        <v>0</v>
      </c>
      <c r="D13" s="2028" t="s">
        <v>1979</v>
      </c>
      <c r="E13" s="2029"/>
      <c r="F13" s="2029"/>
      <c r="G13" s="2030"/>
      <c r="H13" s="2030"/>
      <c r="I13" s="2030"/>
      <c r="J13" s="2031"/>
      <c r="K13" s="1119"/>
      <c r="L13" s="3291"/>
      <c r="M13" s="3292"/>
      <c r="N13" s="3293"/>
      <c r="O13" s="1119"/>
      <c r="P13" s="1119"/>
      <c r="Q13" s="1119"/>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3" t="s">
        <v>1981</v>
      </c>
      <c r="C14" s="2034" t="s">
        <v>1982</v>
      </c>
      <c r="D14" s="1347" t="s">
        <v>1983</v>
      </c>
      <c r="E14" s="27" t="s">
        <v>1984</v>
      </c>
      <c r="F14" s="3303" t="s">
        <v>3241</v>
      </c>
      <c r="G14" s="3303" t="s">
        <v>3241</v>
      </c>
      <c r="H14" s="3303" t="s">
        <v>3241</v>
      </c>
      <c r="I14" s="3303" t="s">
        <v>3241</v>
      </c>
      <c r="J14" s="3303" t="s">
        <v>3241</v>
      </c>
      <c r="K14" s="1119"/>
      <c r="L14" s="1119"/>
      <c r="M14" s="1119"/>
      <c r="N14" s="1119"/>
      <c r="O14" s="1119"/>
      <c r="P14" s="1119"/>
      <c r="Q14" s="1119"/>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5"/>
      <c r="C15" s="2036"/>
      <c r="D15" s="2037"/>
      <c r="E15" s="2038"/>
      <c r="F15" s="3304" t="s">
        <v>3242</v>
      </c>
      <c r="G15" s="3305"/>
      <c r="H15" s="3306"/>
      <c r="I15" s="3307"/>
      <c r="J15" s="3308"/>
      <c r="K15" s="1119"/>
      <c r="L15" s="1119"/>
      <c r="M15" s="1119"/>
      <c r="N15" s="1119"/>
      <c r="O15" s="1119"/>
      <c r="P15" s="1119"/>
      <c r="Q15" s="1119"/>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1985</v>
      </c>
      <c r="C16" s="3309"/>
      <c r="D16" s="3309"/>
      <c r="E16" s="3309"/>
      <c r="F16" s="3309">
        <v>1</v>
      </c>
      <c r="G16" s="3309">
        <v>1</v>
      </c>
      <c r="H16" s="3309">
        <v>1</v>
      </c>
      <c r="I16" s="3309">
        <v>1</v>
      </c>
      <c r="J16" s="3310">
        <v>1</v>
      </c>
      <c r="K16" s="1119"/>
      <c r="L16" s="1990"/>
      <c r="M16" s="1990"/>
      <c r="N16" s="1990"/>
      <c r="O16" s="1990"/>
      <c r="P16" s="1990"/>
      <c r="Q16" s="1119"/>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3243</v>
      </c>
      <c r="B17" s="3312" t="s">
        <v>3244</v>
      </c>
      <c r="C17" s="3322">
        <f>ROUND(IF(OR(E2="工业",E2="公共服务"),1,IF(AND(E18=0,E19=0),1,IF(AND(E18=J24,E19=G19),0.8,IF(E19=0,1+E17*(-0.2),1+E17*G17*(-0.2))))),4)</f>
        <v>1</v>
      </c>
      <c r="D17" s="3313" t="s">
        <v>3245</v>
      </c>
      <c r="E17" s="3322">
        <f>ROUND(G18/I18,2)</f>
        <v>0</v>
      </c>
      <c r="F17" s="3313" t="s">
        <v>3248</v>
      </c>
      <c r="G17" s="3322" t="e">
        <f>ROUND(E19/G19,2)</f>
        <v>#DIV/0!</v>
      </c>
      <c r="H17" s="3322"/>
      <c r="I17" s="3322"/>
      <c r="J17" s="3323"/>
      <c r="K17" s="1119"/>
      <c r="L17" s="1990"/>
      <c r="M17" s="1990"/>
      <c r="N17" s="1990"/>
      <c r="O17" s="1990"/>
      <c r="P17" s="1990"/>
      <c r="Q17" s="1119"/>
      <c r="R17" s="1119"/>
      <c r="S17" s="1119"/>
      <c r="T17" s="1119"/>
      <c r="U17" s="1119"/>
      <c r="V17" s="1119"/>
      <c r="W17" s="1119"/>
      <c r="X17" s="1119"/>
      <c r="Y17" s="1119"/>
      <c r="Z17" s="1120"/>
      <c r="AA17" s="1120"/>
      <c r="AB17" s="1120"/>
      <c r="AC17" s="1120"/>
      <c r="AD17" s="1120"/>
      <c r="AE17" s="1119"/>
      <c r="AF17" s="1119"/>
      <c r="AG17" s="1990"/>
      <c r="AH17" s="1990"/>
      <c r="AI17" s="1990"/>
      <c r="AJ17" s="1990"/>
    </row>
    <row r="18" spans="1:37" s="2007" customFormat="1" ht="14.25">
      <c r="A18" s="3324"/>
      <c r="B18" s="3001"/>
      <c r="C18" s="3319"/>
      <c r="D18" s="3314" t="s">
        <v>3246</v>
      </c>
      <c r="E18" s="3320"/>
      <c r="F18" s="3315" t="s">
        <v>3249</v>
      </c>
      <c r="G18" s="3319">
        <f>ROUND(1-(1/(POWER(1+G24,E18))),4)</f>
        <v>0</v>
      </c>
      <c r="H18" s="3315" t="s">
        <v>3251</v>
      </c>
      <c r="I18" s="3319">
        <f>ROUND(1-(1/(POWER(1+G24,J24))),4)</f>
        <v>0.91279999999999994</v>
      </c>
      <c r="J18" s="3325"/>
      <c r="K18" s="1119"/>
      <c r="L18" s="1990"/>
      <c r="M18" s="1990"/>
      <c r="N18" s="1990"/>
      <c r="O18" s="1990"/>
      <c r="P18" s="1990"/>
      <c r="Q18" s="1119"/>
      <c r="R18" s="1124"/>
      <c r="S18" s="1124"/>
      <c r="T18" s="1120"/>
      <c r="U18" s="1120"/>
      <c r="V18" s="1120"/>
      <c r="W18" s="1119"/>
      <c r="X18" s="1119"/>
      <c r="Y18" s="1119"/>
      <c r="Z18" s="1125"/>
      <c r="AA18" s="1125"/>
      <c r="AB18" s="1125"/>
      <c r="AC18" s="1125"/>
      <c r="AD18" s="1125"/>
      <c r="AE18" s="1120"/>
      <c r="AF18" s="1120"/>
      <c r="AG18" s="2134"/>
      <c r="AH18" s="2134"/>
      <c r="AI18" s="2134"/>
      <c r="AJ18" s="2779"/>
    </row>
    <row r="19" spans="1:37" s="2007" customFormat="1" ht="15" thickBot="1">
      <c r="A19" s="3326"/>
      <c r="B19" s="3327"/>
      <c r="C19" s="3328"/>
      <c r="D19" s="3328" t="s">
        <v>3247</v>
      </c>
      <c r="E19" s="3329"/>
      <c r="F19" s="3330" t="s">
        <v>3250</v>
      </c>
      <c r="G19" s="3329"/>
      <c r="H19" s="3328"/>
      <c r="I19" s="3328"/>
      <c r="J19" s="3331"/>
      <c r="K19" s="1119"/>
      <c r="L19" s="1990"/>
      <c r="M19" s="1990"/>
      <c r="N19" s="1990"/>
      <c r="O19" s="1990"/>
      <c r="P19" s="1990"/>
      <c r="Q19" s="1124"/>
      <c r="R19" s="1124"/>
      <c r="S19" s="1124"/>
      <c r="T19" s="1120"/>
      <c r="U19" s="1120"/>
      <c r="V19" s="1120"/>
      <c r="W19" s="1119"/>
      <c r="X19" s="1119"/>
      <c r="Y19" s="1119"/>
      <c r="Z19" s="1125"/>
      <c r="AA19" s="1125"/>
      <c r="AB19" s="1125"/>
      <c r="AC19" s="1125"/>
      <c r="AD19" s="1125"/>
      <c r="AE19" s="1125"/>
      <c r="AF19" s="1124"/>
      <c r="AG19" s="2782"/>
      <c r="AH19" s="2134"/>
      <c r="AI19" s="2783"/>
      <c r="AJ19" s="2783"/>
      <c r="AK19" s="2050"/>
    </row>
    <row r="20" spans="1:37" s="2007" customFormat="1" ht="14.25">
      <c r="A20" s="3827" t="s">
        <v>3252</v>
      </c>
      <c r="B20" s="167" t="s">
        <v>1990</v>
      </c>
      <c r="C20" s="3316">
        <f>ROUND(IF(F21="与级别开发程度一致",0,(G21-E21)/C21),0)</f>
        <v>0</v>
      </c>
      <c r="D20" s="3332" t="s">
        <v>1994</v>
      </c>
      <c r="E20" s="3333"/>
      <c r="F20" s="3833" t="s">
        <v>1991</v>
      </c>
      <c r="G20" s="3834"/>
      <c r="H20" s="3317"/>
      <c r="I20" s="3317"/>
      <c r="J20" s="3318"/>
      <c r="K20" s="2040"/>
      <c r="L20" s="2040"/>
      <c r="M20" s="2040"/>
      <c r="N20" s="2040"/>
      <c r="O20" s="2041"/>
      <c r="P20" s="1990"/>
      <c r="Q20" s="1124"/>
      <c r="R20" s="1124"/>
      <c r="S20" s="1124"/>
      <c r="T20" s="1120"/>
      <c r="U20" s="1120"/>
      <c r="V20" s="1120"/>
      <c r="W20" s="1119"/>
      <c r="X20" s="1119"/>
      <c r="Y20" s="1119"/>
      <c r="Z20" s="1125"/>
      <c r="AA20" s="1125"/>
      <c r="AB20" s="1125"/>
      <c r="AC20" s="1125"/>
      <c r="AD20" s="1125"/>
      <c r="AE20" s="1125"/>
      <c r="AF20" s="1125"/>
      <c r="AG20" s="2779"/>
      <c r="AH20" s="2779"/>
      <c r="AI20" s="2779"/>
      <c r="AJ20" s="2779"/>
    </row>
    <row r="21" spans="1:37" s="2007" customFormat="1" ht="26.25" thickBot="1">
      <c r="A21" s="3828"/>
      <c r="B21" s="2157" t="s">
        <v>1993</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t="s">
        <v>3479</v>
      </c>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79"/>
      <c r="R21" s="1124"/>
      <c r="S21" s="1124"/>
      <c r="T21" s="1120"/>
      <c r="U21" s="1120"/>
      <c r="V21" s="1120"/>
      <c r="W21" s="1119"/>
      <c r="X21" s="1119"/>
      <c r="Y21" s="1119"/>
      <c r="Z21" s="1125"/>
      <c r="AA21" s="1125"/>
      <c r="AB21" s="1125"/>
      <c r="AC21" s="1125"/>
      <c r="AD21" s="1125"/>
      <c r="AE21" s="1125"/>
      <c r="AF21" s="1125"/>
      <c r="AG21" s="2779"/>
      <c r="AH21" s="2779"/>
      <c r="AI21" s="2779"/>
      <c r="AJ21" s="2779"/>
    </row>
    <row r="22" spans="1:37" s="2007" customFormat="1" ht="15.75" thickBot="1">
      <c r="A22" s="2151" t="s">
        <v>363</v>
      </c>
      <c r="B22" s="2152" t="s">
        <v>1996</v>
      </c>
      <c r="C22" s="2153">
        <f>SUMIF(修正!C20:C51,E3,修正!E20:E51)</f>
        <v>1</v>
      </c>
      <c r="D22" s="2154"/>
      <c r="E22" s="2155"/>
      <c r="F22" s="2155"/>
      <c r="G22" s="2155"/>
      <c r="H22" s="2155"/>
      <c r="I22" s="2155"/>
      <c r="J22" s="2156"/>
      <c r="K22" s="1125"/>
      <c r="L22" s="2779"/>
      <c r="M22" s="2779"/>
      <c r="N22" s="2779"/>
      <c r="O22" s="1123"/>
      <c r="P22" s="1123"/>
      <c r="Q22" s="2779"/>
      <c r="R22" s="1124"/>
      <c r="S22" s="1124"/>
      <c r="T22" s="1120"/>
      <c r="U22" s="1120"/>
      <c r="V22" s="1120"/>
      <c r="W22" s="1119"/>
      <c r="X22" s="1119"/>
      <c r="Y22" s="1119"/>
      <c r="Z22" s="1125"/>
      <c r="AA22" s="1125"/>
      <c r="AB22" s="1125"/>
      <c r="AC22" s="1125"/>
      <c r="AD22" s="1125"/>
      <c r="AE22" s="1125"/>
      <c r="AF22" s="1125"/>
      <c r="AG22" s="2779"/>
      <c r="AH22" s="2779"/>
      <c r="AI22" s="2779"/>
      <c r="AJ22" s="2779"/>
    </row>
    <row r="23" spans="1:37" ht="26.25" thickBot="1">
      <c r="A23" s="2043" t="s">
        <v>364</v>
      </c>
      <c r="B23" s="2044" t="s">
        <v>1997</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47" t="s">
        <v>1998</v>
      </c>
      <c r="E23" s="761">
        <v>44197</v>
      </c>
      <c r="F23" s="2047" t="s">
        <v>1999</v>
      </c>
      <c r="G23" s="762">
        <f>'数据-取费表'!B2</f>
        <v>45124</v>
      </c>
      <c r="H23" s="3334" t="s">
        <v>3254</v>
      </c>
      <c r="I23" s="3335" t="str">
        <f>IF(H23="季度增幅（自定义）",SUMIF(N25:N28,E2,O25:O28),"")</f>
        <v/>
      </c>
      <c r="J23" s="3437" t="s">
        <v>3253</v>
      </c>
      <c r="K23" s="1125"/>
      <c r="L23" s="2048" t="s">
        <v>2000</v>
      </c>
      <c r="M23" s="1325">
        <f>ROUND(SUMIF(地价!B2:G2,E2,地价!B16:G16),0)</f>
        <v>318</v>
      </c>
      <c r="N23" s="2049" t="s">
        <v>2001</v>
      </c>
      <c r="O23" s="763">
        <f>ROUNDDOWN(DATEDIF(E23,G23,"M")/3,0)</f>
        <v>10</v>
      </c>
      <c r="P23" s="1122"/>
      <c r="Q23" s="2779"/>
      <c r="R23" s="1124"/>
      <c r="S23" s="1124"/>
      <c r="T23" s="1120"/>
      <c r="U23" s="1120"/>
      <c r="V23" s="1120"/>
      <c r="W23" s="1119"/>
      <c r="X23" s="1119"/>
      <c r="Y23" s="1119"/>
      <c r="Z23" s="1125"/>
      <c r="AA23" s="1125"/>
      <c r="AB23" s="1125"/>
      <c r="AC23" s="1125"/>
      <c r="AD23" s="1125"/>
      <c r="AE23" s="1120"/>
      <c r="AF23" s="1120"/>
      <c r="AG23" s="2134"/>
      <c r="AH23" s="2134"/>
      <c r="AI23" s="2134"/>
      <c r="AJ23" s="2134"/>
      <c r="AK23" s="2046"/>
    </row>
    <row r="24" spans="1:37" s="2007" customFormat="1" ht="24.75" thickBot="1">
      <c r="A24" s="2051" t="s">
        <v>365</v>
      </c>
      <c r="B24" s="2052" t="s">
        <v>2002</v>
      </c>
      <c r="C24" s="764" t="e">
        <f>ROUND(POWER(1+G24,J24-I24)*(POWER(1+G24,I24)-1)/(POWER(1+G24,J24)-1),4)</f>
        <v>#DIV/0!</v>
      </c>
      <c r="D24" s="2053" t="s">
        <v>2003</v>
      </c>
      <c r="E24" s="1332">
        <f>存贷款利率!E23/100</f>
        <v>4.3499999999999997E-2</v>
      </c>
      <c r="F24" s="2053" t="s">
        <v>1995</v>
      </c>
      <c r="G24" s="768">
        <f>SUMIF(M30:Q30,E2,M33:Q33)</f>
        <v>0.05</v>
      </c>
      <c r="H24" s="2053" t="s">
        <v>2004</v>
      </c>
      <c r="I24" s="769" t="e">
        <f>SUMIF('数据-取费表'!C6:C15,E2,'数据-取费表'!F6:F15)/COUNTIF('数据-取费表'!C6:C15,E2)</f>
        <v>#DIV/0!</v>
      </c>
      <c r="J24" s="770">
        <f>IF(E2="住宅",70,IF(E2="商业",40,50))</f>
        <v>50</v>
      </c>
      <c r="K24" s="1125"/>
      <c r="L24" s="2054" t="s">
        <v>2005</v>
      </c>
      <c r="M24" s="1326">
        <f>ROUND(SUMPRODUCT((地价!A4:A16=YEAR(G23)&amp;"-"&amp;ROUNDUP(MONTH(G23)/3,0))*(地价!B2:G2=E2)*(地价!B4:G16)),0)</f>
        <v>0</v>
      </c>
      <c r="N24" s="2055" t="s">
        <v>2006</v>
      </c>
      <c r="O24" s="2056" t="s">
        <v>2007</v>
      </c>
      <c r="P24" s="2057" t="s">
        <v>2008</v>
      </c>
      <c r="Q24" s="1990"/>
      <c r="R24" s="1124"/>
      <c r="S24" s="1124"/>
      <c r="T24" s="1120"/>
      <c r="U24" s="1120"/>
      <c r="V24" s="1120"/>
      <c r="W24" s="1119"/>
      <c r="X24" s="1119"/>
      <c r="Y24" s="1119"/>
      <c r="Z24" s="1125"/>
      <c r="AA24" s="1125"/>
      <c r="AB24" s="1125"/>
      <c r="AC24" s="1125"/>
      <c r="AD24" s="1125"/>
      <c r="AE24" s="1125"/>
      <c r="AF24" s="1125"/>
      <c r="AG24" s="2779"/>
      <c r="AH24" s="2779"/>
      <c r="AI24" s="2779"/>
      <c r="AJ24" s="2779"/>
    </row>
    <row r="25" spans="1:37" ht="15">
      <c r="A25" s="2058" t="s">
        <v>366</v>
      </c>
      <c r="B25" s="2059" t="s">
        <v>3333</v>
      </c>
      <c r="C25" s="771">
        <f>IF(B25="容积率修正",IF(G3&lt;10,D26,J26),C27)</f>
        <v>0</v>
      </c>
      <c r="D25" s="2060"/>
      <c r="E25" s="2060"/>
      <c r="F25" s="2060"/>
      <c r="G25" s="2060"/>
      <c r="H25" s="2060"/>
      <c r="I25" s="2060"/>
      <c r="J25" s="2061"/>
      <c r="K25" s="1125"/>
      <c r="L25" s="2779"/>
      <c r="M25" s="2779"/>
      <c r="N25" s="2062" t="s">
        <v>2009</v>
      </c>
      <c r="O25" s="1173"/>
      <c r="P25" s="1174">
        <f>SUMPRODUCT((地价!A3:A40=YEAR(G23)&amp;"-"&amp;ROUNDUP(MONTH(G23)/3,0))*(地价!AD2:AH2=N25)*(地价!AD3:AH40))</f>
        <v>0</v>
      </c>
      <c r="Q25" s="2779"/>
      <c r="R25" s="1124"/>
      <c r="S25" s="1124"/>
      <c r="T25" s="1120"/>
      <c r="U25" s="1120"/>
      <c r="V25" s="1120"/>
      <c r="W25" s="1119"/>
      <c r="X25" s="1119"/>
      <c r="Y25" s="1119"/>
      <c r="Z25" s="1125"/>
      <c r="AA25" s="1125"/>
      <c r="AB25" s="1125"/>
      <c r="AC25" s="1125"/>
      <c r="AD25" s="1125"/>
      <c r="AE25" s="1120"/>
      <c r="AF25" s="1120"/>
      <c r="AG25" s="2134"/>
      <c r="AH25" s="2134"/>
      <c r="AI25" s="2134"/>
      <c r="AJ25" s="2134"/>
    </row>
    <row r="26" spans="1:37" ht="14.25">
      <c r="A26" s="1949" t="s">
        <v>2010</v>
      </c>
      <c r="B26" s="2063" t="s">
        <v>2011</v>
      </c>
      <c r="C26" s="3336" t="s">
        <v>3255</v>
      </c>
      <c r="D26" s="1349">
        <f>IF(E26=G26,F26,IF(G3&lt;10,ROUND(F26+(H26-F26)*(G3-E26)/(G26-E26),4),"——"))</f>
        <v>0</v>
      </c>
      <c r="E26" s="752">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3256</v>
      </c>
      <c r="J26" s="772" t="str">
        <f>IF(G3&gt;=10,D115,"——")</f>
        <v>——</v>
      </c>
      <c r="K26" s="1125"/>
      <c r="L26" s="2779"/>
      <c r="M26" s="2779"/>
      <c r="N26" s="2062" t="s">
        <v>2012</v>
      </c>
      <c r="O26" s="1173"/>
      <c r="P26" s="1174">
        <f>SUMPRODUCT((地价!A3:A40=YEAR(G23)&amp;"-"&amp;ROUNDUP(MONTH(G23)/3,0))*(地价!AD2:AH2=N26)*(地价!AD3:AH40))</f>
        <v>0</v>
      </c>
      <c r="Q26" s="1990"/>
      <c r="R26" s="1124"/>
      <c r="S26" s="1124"/>
      <c r="T26" s="1120"/>
      <c r="U26" s="1120"/>
      <c r="V26" s="1120"/>
      <c r="W26" s="1119"/>
      <c r="X26" s="1119"/>
      <c r="Y26" s="1119"/>
      <c r="Z26" s="1125"/>
      <c r="AA26" s="1125"/>
      <c r="AB26" s="1125"/>
      <c r="AC26" s="1125"/>
      <c r="AD26" s="1125"/>
      <c r="AE26" s="1120"/>
      <c r="AF26" s="1120"/>
      <c r="AG26" s="2134"/>
      <c r="AH26" s="2134"/>
      <c r="AI26" s="2134"/>
      <c r="AJ26" s="2134"/>
    </row>
    <row r="27" spans="1:37" ht="15.75" thickBot="1">
      <c r="A27" s="1949" t="s">
        <v>2013</v>
      </c>
      <c r="B27" s="2064" t="s">
        <v>2014</v>
      </c>
      <c r="C27" s="841">
        <f>ROUND(IF(I3&lt;6,SUMPRODUCT((B106:B110=I3)*(C105:N105=G2)*(C106:N110)),SUMIF(C105:N105,G2,C112:N112)),4)</f>
        <v>0</v>
      </c>
      <c r="D27" s="2039"/>
      <c r="E27" s="2039"/>
      <c r="F27" s="2065"/>
      <c r="G27" s="2066"/>
      <c r="H27" s="2067"/>
      <c r="I27" s="2068"/>
      <c r="J27" s="2069"/>
      <c r="K27" s="1119"/>
      <c r="L27" s="1990"/>
      <c r="M27" s="1990"/>
      <c r="N27" s="2062" t="s">
        <v>2015</v>
      </c>
      <c r="O27" s="1173"/>
      <c r="P27" s="1174">
        <f>SUMPRODUCT((地价!A3:A40=YEAR(G23)&amp;"-"&amp;ROUNDUP(MONTH(G23)/3,0))*(地价!AD2:AH2=N27)*(地价!AD3:AH40))</f>
        <v>0</v>
      </c>
      <c r="Q27" s="1990"/>
      <c r="R27" s="1124"/>
      <c r="S27" s="1124"/>
      <c r="T27" s="1120"/>
      <c r="U27" s="1120"/>
      <c r="V27" s="1120"/>
      <c r="W27" s="1119"/>
      <c r="X27" s="1119"/>
      <c r="Y27" s="1119"/>
      <c r="Z27" s="1125"/>
      <c r="AA27" s="1125"/>
      <c r="AB27" s="1125"/>
      <c r="AC27" s="1125"/>
      <c r="AD27" s="1125"/>
      <c r="AE27" s="1120"/>
      <c r="AF27" s="1120"/>
      <c r="AG27" s="2134"/>
      <c r="AH27" s="2134"/>
      <c r="AI27" s="2134"/>
      <c r="AJ27" s="2134"/>
    </row>
    <row r="28" spans="1:37" ht="15.75" thickBot="1">
      <c r="A28" s="2051" t="s">
        <v>367</v>
      </c>
      <c r="B28" s="2044" t="s">
        <v>2016</v>
      </c>
      <c r="C28" s="760">
        <f>SUMIF(A47:A101,E2,B47:B101)</f>
        <v>1</v>
      </c>
      <c r="D28" s="2045"/>
      <c r="E28" s="2070"/>
      <c r="F28" s="2070"/>
      <c r="G28" s="2070"/>
      <c r="H28" s="2070"/>
      <c r="I28" s="2070"/>
      <c r="J28" s="2071"/>
      <c r="K28" s="1125"/>
      <c r="L28" s="2779"/>
      <c r="M28" s="2779"/>
      <c r="N28" s="2072"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4"/>
      <c r="AH28" s="2134"/>
      <c r="AI28" s="2134"/>
      <c r="AJ28" s="2134"/>
    </row>
    <row r="29" spans="1:37" ht="15.75" thickBot="1">
      <c r="A29" s="2051" t="s">
        <v>368</v>
      </c>
      <c r="B29" s="2073" t="s">
        <v>2018</v>
      </c>
      <c r="C29" s="765"/>
      <c r="D29" s="2017"/>
      <c r="E29" s="2017"/>
      <c r="F29" s="2074"/>
      <c r="G29" s="2017"/>
      <c r="H29" s="2017"/>
      <c r="I29" s="2017"/>
      <c r="J29" s="2018"/>
      <c r="K29" s="1119"/>
      <c r="L29" s="1990"/>
      <c r="M29" s="1990"/>
      <c r="N29" s="2776" t="s">
        <v>2019</v>
      </c>
      <c r="O29" s="2777"/>
      <c r="P29" s="2778">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0"/>
      <c r="AH29" s="1990"/>
      <c r="AI29" s="1990"/>
      <c r="AJ29" s="1990"/>
    </row>
    <row r="30" spans="1:37" ht="15">
      <c r="A30" s="2075"/>
      <c r="B30" s="2063" t="s">
        <v>2020</v>
      </c>
      <c r="C30" s="2314" t="e">
        <f>IF(B25="容积率修正",E33+SUM(E37:E42),SUM(V2:V16)+SUM(E37:E42))</f>
        <v>#DIV/0!</v>
      </c>
      <c r="D30" s="2076"/>
      <c r="E30" s="2039"/>
      <c r="F30" s="2077"/>
      <c r="G30" s="2039"/>
      <c r="H30" s="2039"/>
      <c r="I30" s="2039"/>
      <c r="J30" s="2078"/>
      <c r="K30" s="1119"/>
      <c r="L30" s="3342" t="s">
        <v>1932</v>
      </c>
      <c r="M30" s="3343" t="s">
        <v>1986</v>
      </c>
      <c r="N30" s="3343" t="s">
        <v>1987</v>
      </c>
      <c r="O30" s="3343" t="s">
        <v>1988</v>
      </c>
      <c r="P30" s="3343" t="s">
        <v>1989</v>
      </c>
      <c r="Q30" s="3346" t="s">
        <v>3260</v>
      </c>
      <c r="R30" s="1124"/>
      <c r="S30" s="1124"/>
      <c r="T30" s="1120"/>
      <c r="U30" s="1120"/>
      <c r="V30" s="1120"/>
      <c r="W30" s="1119"/>
      <c r="X30" s="1119"/>
      <c r="Y30" s="1119"/>
      <c r="Z30" s="1125"/>
      <c r="AA30" s="1125"/>
      <c r="AB30" s="1125"/>
      <c r="AC30" s="1125"/>
      <c r="AD30" s="1125"/>
      <c r="AE30" s="1119"/>
      <c r="AF30" s="1119"/>
      <c r="AG30" s="1990"/>
      <c r="AH30" s="1990"/>
      <c r="AI30" s="1990"/>
      <c r="AJ30" s="1990"/>
    </row>
    <row r="31" spans="1:37" ht="15.75" thickBot="1">
      <c r="A31" s="2075"/>
      <c r="B31" s="2079" t="s">
        <v>2021</v>
      </c>
      <c r="C31" s="766" t="e">
        <f>E34+SUM(I37:I42)</f>
        <v>#DIV/0!</v>
      </c>
      <c r="D31" s="2080"/>
      <c r="E31" s="2081"/>
      <c r="F31" s="2082"/>
      <c r="G31" s="2081"/>
      <c r="H31" s="2081"/>
      <c r="I31" s="2081"/>
      <c r="J31" s="2083"/>
      <c r="K31" s="1119"/>
      <c r="L31" s="3344" t="s">
        <v>1992</v>
      </c>
      <c r="M31" s="1993">
        <v>0.25</v>
      </c>
      <c r="N31" s="1993">
        <v>0.2</v>
      </c>
      <c r="O31" s="1993">
        <v>0.15</v>
      </c>
      <c r="P31" s="1993">
        <v>0.1</v>
      </c>
      <c r="Q31" s="3339">
        <v>0.15</v>
      </c>
      <c r="R31" s="1124"/>
      <c r="S31" s="1124"/>
      <c r="T31" s="1120"/>
      <c r="U31" s="1120"/>
      <c r="V31" s="1120"/>
      <c r="W31" s="1119"/>
      <c r="X31" s="1119"/>
      <c r="Y31" s="1119"/>
      <c r="Z31" s="1125"/>
      <c r="AA31" s="1125"/>
      <c r="AB31" s="1125"/>
      <c r="AC31" s="1125"/>
      <c r="AD31" s="1125"/>
      <c r="AE31" s="1119"/>
      <c r="AF31" s="1119"/>
      <c r="AG31" s="1990"/>
      <c r="AH31" s="1990"/>
      <c r="AI31" s="1990"/>
      <c r="AJ31" s="1990"/>
    </row>
    <row r="32" spans="1:37" ht="15.75" thickBot="1">
      <c r="A32" s="2084"/>
      <c r="B32" s="2085" t="s">
        <v>2022</v>
      </c>
      <c r="C32" s="2086" t="s">
        <v>2023</v>
      </c>
      <c r="D32" s="2086" t="s">
        <v>2024</v>
      </c>
      <c r="E32" s="2087" t="s">
        <v>2025</v>
      </c>
      <c r="F32" s="2088"/>
      <c r="G32" s="2030"/>
      <c r="H32" s="2030"/>
      <c r="I32" s="2030"/>
      <c r="J32" s="2031"/>
      <c r="K32" s="1119"/>
      <c r="L32" s="3345" t="s">
        <v>1995</v>
      </c>
      <c r="M32" s="2561">
        <f>ROUND($E$24*(1+M31),3)</f>
        <v>5.3999999999999999E-2</v>
      </c>
      <c r="N32" s="2561">
        <f>ROUND($E$24*(1+N31),3)</f>
        <v>5.1999999999999998E-2</v>
      </c>
      <c r="O32" s="2561">
        <f>ROUND($E$24*(1+O31),3)</f>
        <v>0.05</v>
      </c>
      <c r="P32" s="2561">
        <f>ROUND($E$24*(1+P31),3)</f>
        <v>4.8000000000000001E-2</v>
      </c>
      <c r="Q32" s="3347">
        <f>ROUND($E$24*(1+Q31),3)</f>
        <v>0.05</v>
      </c>
      <c r="R32" s="1124"/>
      <c r="S32" s="1124"/>
      <c r="T32" s="1120"/>
      <c r="U32" s="1120"/>
      <c r="V32" s="1120"/>
      <c r="W32" s="1119"/>
      <c r="X32" s="1119"/>
      <c r="Y32" s="1119"/>
      <c r="Z32" s="1125"/>
      <c r="AA32" s="1125"/>
      <c r="AB32" s="1125"/>
      <c r="AC32" s="1125"/>
      <c r="AD32" s="1125"/>
      <c r="AE32" s="1119"/>
      <c r="AF32" s="1119"/>
      <c r="AG32" s="1990"/>
      <c r="AH32" s="1990"/>
      <c r="AI32" s="1990"/>
      <c r="AJ32" s="1990"/>
    </row>
    <row r="33" spans="1:37" ht="14.25">
      <c r="A33" s="2089"/>
      <c r="B33" s="2090" t="s">
        <v>2026</v>
      </c>
      <c r="C33" s="175" t="e">
        <f>ROUND(C5*C22*C23*C24*C25*C28,0)</f>
        <v>#DIV/0!</v>
      </c>
      <c r="D33" s="2091"/>
      <c r="E33" s="773" t="e">
        <f>ROUND(C33*D33/10000,0)</f>
        <v>#DIV/0!</v>
      </c>
      <c r="F33" s="3337" t="s">
        <v>3258</v>
      </c>
      <c r="G33" s="2092"/>
      <c r="H33" s="2092"/>
      <c r="I33" s="2092"/>
      <c r="J33" s="2093"/>
      <c r="K33" s="1119"/>
      <c r="L33" s="3340" t="s">
        <v>3261</v>
      </c>
      <c r="M33" s="3341">
        <v>5.5E-2</v>
      </c>
      <c r="N33" s="3341">
        <v>5.5E-2</v>
      </c>
      <c r="O33" s="3341">
        <v>0.05</v>
      </c>
      <c r="P33" s="3341">
        <v>0.05</v>
      </c>
      <c r="Q33" s="3341">
        <v>0.05</v>
      </c>
      <c r="R33" s="1124"/>
      <c r="S33" s="1124"/>
      <c r="T33" s="1120"/>
      <c r="U33" s="1120"/>
      <c r="V33" s="1120"/>
      <c r="W33" s="1119"/>
      <c r="X33" s="1119"/>
      <c r="Y33" s="1119"/>
      <c r="Z33" s="1125"/>
      <c r="AA33" s="1125"/>
      <c r="AB33" s="1125"/>
      <c r="AC33" s="1125"/>
      <c r="AD33" s="1125"/>
      <c r="AE33" s="1120"/>
      <c r="AF33" s="1120"/>
      <c r="AG33" s="2134"/>
      <c r="AH33" s="2134"/>
      <c r="AI33" s="2134"/>
      <c r="AJ33" s="2134"/>
    </row>
    <row r="34" spans="1:37" ht="25.5" thickBot="1">
      <c r="A34" s="2094"/>
      <c r="B34" s="2095" t="s">
        <v>2027</v>
      </c>
      <c r="C34" s="187" t="e">
        <f>ROUND(IF(E2="工业",C33*M42,IF(B25="楼层修正",SUM(V2:V16)*M41*10000/D34,C33*M41)),0)</f>
        <v>#DIV/0!</v>
      </c>
      <c r="D34" s="2096"/>
      <c r="E34" s="773" t="e">
        <f>ROUND(IF(B25="楼层修正",SUM(V2:V16)*M40,C34*D34/10000),0)</f>
        <v>#DIV/0!</v>
      </c>
      <c r="F34" s="2097" t="s">
        <v>2028</v>
      </c>
      <c r="G34" s="2098"/>
      <c r="H34" s="2098"/>
      <c r="I34" s="2098"/>
      <c r="J34" s="2099"/>
      <c r="K34" s="1119"/>
      <c r="L34" s="3340" t="s">
        <v>3262</v>
      </c>
      <c r="M34" s="3341">
        <v>6.5000000000000002E-2</v>
      </c>
      <c r="N34" s="3341">
        <v>6.5000000000000002E-2</v>
      </c>
      <c r="O34" s="3341">
        <v>0.06</v>
      </c>
      <c r="P34" s="3341">
        <v>0.06</v>
      </c>
      <c r="Q34" s="3341">
        <v>0.06</v>
      </c>
      <c r="R34" s="1124"/>
      <c r="S34" s="1124"/>
      <c r="T34" s="1120"/>
      <c r="U34" s="1120"/>
      <c r="V34" s="1120"/>
      <c r="W34" s="1119"/>
      <c r="X34" s="1119"/>
      <c r="Y34" s="1119"/>
      <c r="Z34" s="1125"/>
      <c r="AA34" s="1125"/>
      <c r="AB34" s="1125"/>
      <c r="AC34" s="1125"/>
      <c r="AD34" s="1125"/>
      <c r="AE34" s="1120"/>
      <c r="AF34" s="1120"/>
      <c r="AG34" s="2134"/>
      <c r="AH34" s="2134"/>
      <c r="AI34" s="2134"/>
      <c r="AJ34" s="2134"/>
    </row>
    <row r="35" spans="1:37">
      <c r="A35" s="2100"/>
      <c r="B35" s="2101" t="s">
        <v>2029</v>
      </c>
      <c r="C35" s="3338" t="s">
        <v>3259</v>
      </c>
      <c r="D35" s="2030"/>
      <c r="E35" s="2102"/>
      <c r="F35" s="2102"/>
      <c r="G35" s="2028" t="s">
        <v>2030</v>
      </c>
      <c r="H35" s="2030"/>
      <c r="I35" s="2103"/>
      <c r="J35" s="2031"/>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4"/>
      <c r="AH35" s="2134"/>
      <c r="AI35" s="2134"/>
      <c r="AJ35" s="2134"/>
    </row>
    <row r="36" spans="1:37" ht="24.75" thickBot="1">
      <c r="A36" s="2089"/>
      <c r="B36" s="2104"/>
      <c r="C36" s="450" t="s">
        <v>2023</v>
      </c>
      <c r="D36" s="447" t="s">
        <v>2024</v>
      </c>
      <c r="E36" s="447" t="s">
        <v>2025</v>
      </c>
      <c r="F36" s="342" t="s">
        <v>2031</v>
      </c>
      <c r="G36" s="2105" t="s">
        <v>2023</v>
      </c>
      <c r="H36" s="2105" t="s">
        <v>2024</v>
      </c>
      <c r="I36" s="2105" t="s">
        <v>2025</v>
      </c>
      <c r="J36" s="243"/>
      <c r="K36" s="3348" t="s">
        <v>3263</v>
      </c>
      <c r="L36" s="3438">
        <f ca="1">'数据-取费表'!B40</f>
        <v>3.5499999999999997E-2</v>
      </c>
      <c r="M36" s="3349">
        <f ca="1">ROUND($L$36*(1+M31),3)</f>
        <v>4.3999999999999997E-2</v>
      </c>
      <c r="N36" s="3349">
        <f ca="1">ROUND($L$36*(1+N31),3)</f>
        <v>4.2999999999999997E-2</v>
      </c>
      <c r="O36" s="3349">
        <f ca="1">ROUND($L$36*(1+O31),3)</f>
        <v>4.1000000000000002E-2</v>
      </c>
      <c r="P36" s="3349">
        <f ca="1">ROUND($L$36*(1+P31),3)</f>
        <v>3.9E-2</v>
      </c>
      <c r="Q36" s="3349">
        <f ca="1">ROUND($L$36*(1+Q31),3)</f>
        <v>4.1000000000000002E-2</v>
      </c>
      <c r="R36" s="1119"/>
      <c r="S36" s="1119"/>
      <c r="T36" s="1119"/>
      <c r="U36" s="1119"/>
      <c r="V36" s="1119"/>
      <c r="W36" s="1119"/>
      <c r="X36" s="1119"/>
      <c r="Y36" s="1119"/>
      <c r="Z36" s="1120"/>
      <c r="AA36" s="1120"/>
      <c r="AB36" s="1120"/>
      <c r="AC36" s="1120"/>
      <c r="AD36" s="1120"/>
      <c r="AE36" s="1120"/>
      <c r="AF36" s="1120"/>
      <c r="AG36" s="2134"/>
      <c r="AH36" s="2134"/>
      <c r="AI36" s="2134"/>
      <c r="AJ36" s="2134"/>
    </row>
    <row r="37" spans="1:37" ht="24.75" thickBot="1">
      <c r="A37" s="3831"/>
      <c r="B37" s="2106" t="s">
        <v>2032</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3"/>
      <c r="K37" s="3350" t="s">
        <v>3264</v>
      </c>
      <c r="L37" s="3348">
        <f ca="1">L36+K38</f>
        <v>4.0499999999999994E-2</v>
      </c>
      <c r="M37" s="3349">
        <f ca="1">ROUND($L$37*(1+M31),3)</f>
        <v>5.0999999999999997E-2</v>
      </c>
      <c r="N37" s="3349">
        <f t="shared" ref="N37:Q37" ca="1" si="3">ROUND($L$37*(1+N31),3)</f>
        <v>4.9000000000000002E-2</v>
      </c>
      <c r="O37" s="3349">
        <f t="shared" ca="1" si="3"/>
        <v>4.7E-2</v>
      </c>
      <c r="P37" s="3349">
        <f t="shared" ca="1" si="3"/>
        <v>4.4999999999999998E-2</v>
      </c>
      <c r="Q37" s="3349">
        <f t="shared" ca="1" si="3"/>
        <v>4.7E-2</v>
      </c>
      <c r="R37" s="1119"/>
      <c r="S37" s="1119"/>
      <c r="T37" s="1119"/>
      <c r="U37" s="1119"/>
      <c r="V37" s="1119"/>
      <c r="W37" s="1119"/>
      <c r="X37" s="1119"/>
      <c r="Y37" s="1119"/>
      <c r="Z37" s="1120"/>
      <c r="AA37" s="1120"/>
      <c r="AB37" s="1120"/>
      <c r="AC37" s="1120"/>
      <c r="AD37" s="1120"/>
      <c r="AE37" s="1120"/>
      <c r="AF37" s="1120"/>
      <c r="AG37" s="2134"/>
      <c r="AH37" s="2134"/>
      <c r="AI37" s="2134"/>
      <c r="AJ37" s="2134"/>
    </row>
    <row r="38" spans="1:37">
      <c r="A38" s="3832"/>
      <c r="B38" s="2034" t="s">
        <v>2033</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9"/>
      <c r="S38" s="1119"/>
      <c r="T38" s="1119"/>
      <c r="U38" s="1119"/>
      <c r="V38" s="1119"/>
      <c r="W38" s="1119"/>
      <c r="X38" s="1119"/>
      <c r="Y38" s="1119"/>
      <c r="Z38" s="1120"/>
      <c r="AA38" s="1120"/>
      <c r="AB38" s="1120"/>
      <c r="AC38" s="1120"/>
      <c r="AD38" s="1120"/>
    </row>
    <row r="39" spans="1:37" ht="13.5" thickBot="1">
      <c r="A39" s="3832"/>
      <c r="B39" s="2034" t="s">
        <v>3257</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3002"/>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08"/>
      <c r="B40" s="2034" t="s">
        <v>2034</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2035</v>
      </c>
      <c r="M40" s="2110"/>
      <c r="Z40" s="1120"/>
      <c r="AA40" s="1120"/>
      <c r="AB40" s="1120"/>
      <c r="AC40" s="1120"/>
      <c r="AD40" s="1120"/>
      <c r="AE40" s="1120"/>
      <c r="AF40" s="1120"/>
      <c r="AG40" s="1120"/>
      <c r="AH40" s="1120"/>
      <c r="AI40" s="1120"/>
      <c r="AJ40" s="1120"/>
    </row>
    <row r="41" spans="1:37" s="1119" customFormat="1">
      <c r="A41" s="2108"/>
      <c r="B41" s="2034" t="s">
        <v>2036</v>
      </c>
      <c r="C41" s="171">
        <f>ROUND(D5*C22*C23*C44*C28*F41,0)</f>
        <v>0</v>
      </c>
      <c r="D41" s="2091"/>
      <c r="E41" s="171">
        <f t="shared" si="4"/>
        <v>0</v>
      </c>
      <c r="F41" s="175">
        <f>SUMIF(修正!A57:A68,G2,修正!F57:F68)</f>
        <v>0</v>
      </c>
      <c r="G41" s="171">
        <f>ROUND(IF(E2="工业",C41*$M$42,C41*$M$41),0)</f>
        <v>0</v>
      </c>
      <c r="H41" s="171">
        <f t="shared" si="5"/>
        <v>0</v>
      </c>
      <c r="I41" s="171">
        <f t="shared" si="6"/>
        <v>0</v>
      </c>
      <c r="J41" s="2107"/>
      <c r="L41" s="3351" t="s">
        <v>3265</v>
      </c>
      <c r="M41" s="2111">
        <v>0.25</v>
      </c>
      <c r="Z41" s="1120"/>
      <c r="AA41" s="1120"/>
      <c r="AB41" s="1120"/>
      <c r="AC41" s="1120"/>
      <c r="AD41" s="1120"/>
      <c r="AE41" s="1120"/>
      <c r="AF41" s="1120"/>
      <c r="AG41" s="1120"/>
      <c r="AH41" s="1120"/>
      <c r="AI41" s="1120"/>
      <c r="AJ41" s="1120"/>
    </row>
    <row r="42" spans="1:37" s="1119" customFormat="1" ht="13.5" thickBot="1">
      <c r="A42" s="2094"/>
      <c r="B42" s="2112" t="s">
        <v>2037</v>
      </c>
      <c r="C42" s="187">
        <f>ROUND(D5*C22*C23*C44*C28*F42,0)</f>
        <v>0</v>
      </c>
      <c r="D42" s="2096"/>
      <c r="E42" s="187">
        <f t="shared" si="4"/>
        <v>0</v>
      </c>
      <c r="F42" s="767">
        <f>SUMIF(修正!A57:A68,G2,修正!G57:G68)</f>
        <v>0</v>
      </c>
      <c r="G42" s="187">
        <f>ROUND(IF(E2="工业",C42*$M$42,C42*$M$41),0)</f>
        <v>0</v>
      </c>
      <c r="H42" s="187">
        <f t="shared" si="5"/>
        <v>0</v>
      </c>
      <c r="I42" s="187">
        <f t="shared" si="6"/>
        <v>0</v>
      </c>
      <c r="J42" s="2113"/>
      <c r="L42" s="2114" t="s">
        <v>1989</v>
      </c>
      <c r="M42" s="2115">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47" t="s">
        <v>2118</v>
      </c>
      <c r="C44" s="342">
        <f>ROUND(POWER(1+E44,H44-G44)*(POWER(1+E44,G44)-1)/(POWER(1+E44,H44)-1),4)</f>
        <v>0</v>
      </c>
      <c r="D44" s="171" t="s">
        <v>1995</v>
      </c>
      <c r="E44" s="2146">
        <f>G24</f>
        <v>0.05</v>
      </c>
      <c r="F44" s="171" t="s">
        <v>2004</v>
      </c>
      <c r="G44" s="183"/>
      <c r="H44" s="171">
        <v>50</v>
      </c>
      <c r="Z44" s="1120"/>
      <c r="AA44" s="1120"/>
      <c r="AB44" s="1120"/>
      <c r="AC44" s="1120"/>
      <c r="AD44" s="1120"/>
      <c r="AE44" s="1120"/>
      <c r="AF44" s="1120"/>
      <c r="AG44" s="1120"/>
      <c r="AH44" s="1120"/>
      <c r="AI44" s="1120"/>
      <c r="AJ44" s="1120"/>
    </row>
    <row r="45" spans="1:37" s="1119" customFormat="1">
      <c r="A45" s="1120"/>
      <c r="B45" s="2116"/>
      <c r="Z45" s="1120"/>
      <c r="AA45" s="1120"/>
      <c r="AB45" s="1120"/>
      <c r="AC45" s="1120"/>
      <c r="AD45" s="1120"/>
      <c r="AE45" s="1120"/>
      <c r="AF45" s="1120"/>
      <c r="AG45" s="1120"/>
      <c r="AH45" s="1120"/>
      <c r="AI45" s="1120"/>
      <c r="AJ45" s="1120"/>
    </row>
    <row r="46" spans="1:37" s="1119" customFormat="1">
      <c r="A46" s="1120"/>
      <c r="B46" s="2116"/>
      <c r="AA46" s="1120"/>
      <c r="AB46" s="1120"/>
      <c r="AC46" s="1120"/>
      <c r="AD46" s="1120"/>
      <c r="AE46" s="1120"/>
      <c r="AF46" s="1120"/>
      <c r="AG46" s="1120"/>
      <c r="AH46" s="1120"/>
      <c r="AI46" s="1120"/>
      <c r="AJ46" s="1120"/>
      <c r="AK46" s="1120"/>
    </row>
    <row r="47" spans="1:37" s="1119" customFormat="1" ht="15.75" thickBot="1">
      <c r="A47" s="2117" t="s">
        <v>2038</v>
      </c>
      <c r="B47" s="2118"/>
      <c r="C47" s="4"/>
      <c r="D47" s="4"/>
      <c r="E47" s="4"/>
      <c r="F47" s="3"/>
      <c r="G47" s="3"/>
      <c r="H47" s="3"/>
      <c r="I47" s="1818"/>
      <c r="J47" s="1818"/>
      <c r="K47" s="1818"/>
      <c r="L47" s="1818"/>
      <c r="M47" s="1818"/>
      <c r="AA47" s="1120"/>
      <c r="AB47" s="1120"/>
      <c r="AC47" s="1120"/>
      <c r="AD47" s="1120"/>
      <c r="AE47" s="1120"/>
      <c r="AF47" s="1120"/>
      <c r="AG47" s="1120"/>
      <c r="AH47" s="1120"/>
      <c r="AI47" s="1120"/>
      <c r="AJ47" s="1120"/>
      <c r="AK47" s="1120"/>
    </row>
    <row r="48" spans="1:37" s="1119" customFormat="1" ht="15">
      <c r="A48" s="2119" t="s">
        <v>2039</v>
      </c>
      <c r="B48" s="2120">
        <f>1+E50</f>
        <v>1</v>
      </c>
      <c r="C48" s="2121"/>
      <c r="D48" s="741"/>
      <c r="E48" s="742"/>
      <c r="F48" s="2122"/>
      <c r="G48" s="3"/>
      <c r="H48" s="4"/>
      <c r="I48" s="1818"/>
      <c r="J48" s="1818"/>
      <c r="K48" s="1818"/>
      <c r="L48" s="1818"/>
      <c r="M48" s="1818"/>
      <c r="AA48" s="1120"/>
      <c r="AB48" s="1120"/>
      <c r="AC48" s="1120"/>
      <c r="AD48" s="1120"/>
      <c r="AE48" s="1120"/>
      <c r="AF48" s="1120"/>
      <c r="AG48" s="1120"/>
      <c r="AH48" s="1120"/>
      <c r="AI48" s="1120"/>
      <c r="AJ48" s="1120"/>
      <c r="AK48" s="1120"/>
    </row>
    <row r="49" spans="1:37" s="1119" customFormat="1" ht="24.75">
      <c r="A49" s="2123" t="s">
        <v>2040</v>
      </c>
      <c r="B49" s="1348" t="s">
        <v>2041</v>
      </c>
      <c r="C49" s="1348" t="s">
        <v>2042</v>
      </c>
      <c r="D49" s="1348" t="s">
        <v>2043</v>
      </c>
      <c r="E49" s="743" t="s">
        <v>2044</v>
      </c>
      <c r="F49" s="2124" t="s">
        <v>2045</v>
      </c>
      <c r="G49" s="1348" t="s">
        <v>310</v>
      </c>
      <c r="H49" s="2125" t="s">
        <v>2046</v>
      </c>
      <c r="I49" s="1348"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24.75">
      <c r="A50" s="2123" t="s">
        <v>2048</v>
      </c>
      <c r="B50" s="2126">
        <f>估价对象房地状况!C4</f>
        <v>0</v>
      </c>
      <c r="C50" s="2037"/>
      <c r="D50" s="1065">
        <f t="shared" ref="D50:D58" si="7">SUMIF($J$49:$N$49,C50,J50:N50)</f>
        <v>0</v>
      </c>
      <c r="E50" s="744">
        <f>ROUND(SUM(D50:D58),4)</f>
        <v>0</v>
      </c>
      <c r="F50" s="1811" t="str">
        <f>IF(E2="商业",SUMIF(L1:L12,G2,N1:N12),"——")</f>
        <v>——</v>
      </c>
      <c r="G50" s="1063"/>
      <c r="H50" s="1066" t="str">
        <f t="shared" ref="H50:H58" si="8">IFERROR(ROUNDDOWN($F$50*I50/2,4),"——")</f>
        <v>——</v>
      </c>
      <c r="I50" s="335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3" t="s">
        <v>2049</v>
      </c>
      <c r="B51" s="2127" t="str">
        <f>估价对象房地状况!C18</f>
        <v>较差</v>
      </c>
      <c r="C51" s="2037"/>
      <c r="D51" s="1065">
        <f t="shared" si="7"/>
        <v>0</v>
      </c>
      <c r="E51" s="745"/>
      <c r="F51" s="1811"/>
      <c r="G51" s="1063"/>
      <c r="H51" s="1066" t="str">
        <f t="shared" si="8"/>
        <v>——</v>
      </c>
      <c r="I51" s="335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0" t="s">
        <v>3267</v>
      </c>
      <c r="B52" s="2127">
        <f>估价对象房地状况!C19</f>
        <v>0</v>
      </c>
      <c r="C52" s="2037"/>
      <c r="D52" s="1065">
        <f t="shared" si="7"/>
        <v>0</v>
      </c>
      <c r="E52" s="745"/>
      <c r="F52" s="1811"/>
      <c r="G52" s="1063"/>
      <c r="H52" s="1066" t="str">
        <f t="shared" si="8"/>
        <v>——</v>
      </c>
      <c r="I52" s="335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3" t="s">
        <v>2050</v>
      </c>
      <c r="B53" s="2128" t="s">
        <v>2051</v>
      </c>
      <c r="C53" s="2037"/>
      <c r="D53" s="1065">
        <f t="shared" si="7"/>
        <v>0</v>
      </c>
      <c r="E53" s="745"/>
      <c r="F53" s="1811"/>
      <c r="G53" s="1063"/>
      <c r="H53" s="1066" t="str">
        <f t="shared" si="8"/>
        <v>——</v>
      </c>
      <c r="I53" s="335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3" t="s">
        <v>2052</v>
      </c>
      <c r="B54" s="2127" t="str">
        <f>估价对象房地状况!C24</f>
        <v>次干道</v>
      </c>
      <c r="C54" s="2037"/>
      <c r="D54" s="1065">
        <f t="shared" si="7"/>
        <v>0</v>
      </c>
      <c r="E54" s="745"/>
      <c r="F54" s="1811"/>
      <c r="G54" s="1063"/>
      <c r="H54" s="1066" t="str">
        <f t="shared" si="8"/>
        <v>——</v>
      </c>
      <c r="I54" s="335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3" t="s">
        <v>2053</v>
      </c>
      <c r="B55" s="2129" t="s">
        <v>2054</v>
      </c>
      <c r="C55" s="2037"/>
      <c r="D55" s="1065">
        <f t="shared" si="7"/>
        <v>0</v>
      </c>
      <c r="E55" s="745"/>
      <c r="F55" s="1811"/>
      <c r="G55" s="1063"/>
      <c r="H55" s="1066" t="str">
        <f t="shared" si="8"/>
        <v>——</v>
      </c>
      <c r="I55" s="335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0" t="s">
        <v>2055</v>
      </c>
      <c r="B56" s="1323" t="str">
        <f>估价对象房地状况!C21</f>
        <v>较差</v>
      </c>
      <c r="C56" s="2037"/>
      <c r="D56" s="1065">
        <f t="shared" si="7"/>
        <v>0</v>
      </c>
      <c r="E56" s="745"/>
      <c r="F56" s="1811"/>
      <c r="G56" s="1063"/>
      <c r="H56" s="1066" t="str">
        <f t="shared" si="8"/>
        <v>——</v>
      </c>
      <c r="I56" s="335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0" t="s">
        <v>2056</v>
      </c>
      <c r="B57" s="2127" t="str">
        <f>估价对象房地状况!C22</f>
        <v>七通</v>
      </c>
      <c r="C57" s="2037"/>
      <c r="D57" s="1065">
        <f t="shared" si="7"/>
        <v>0</v>
      </c>
      <c r="E57" s="745"/>
      <c r="F57" s="1811"/>
      <c r="G57" s="1063"/>
      <c r="H57" s="1066" t="str">
        <f t="shared" si="8"/>
        <v>——</v>
      </c>
      <c r="I57" s="335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1" t="s">
        <v>2057</v>
      </c>
      <c r="B58" s="2132" t="str">
        <f>估价对象房地状况!C20</f>
        <v>一般</v>
      </c>
      <c r="C58" s="2037"/>
      <c r="D58" s="1065">
        <f t="shared" si="7"/>
        <v>0</v>
      </c>
      <c r="E58" s="746"/>
      <c r="F58" s="1811"/>
      <c r="G58" s="1063"/>
      <c r="H58" s="1066" t="str">
        <f t="shared" si="8"/>
        <v>——</v>
      </c>
      <c r="I58" s="335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19" t="s">
        <v>2058</v>
      </c>
      <c r="B59" s="2120">
        <f>1+E61</f>
        <v>1</v>
      </c>
      <c r="C59" s="741"/>
      <c r="D59" s="741"/>
      <c r="E59" s="742"/>
      <c r="F59" s="2122"/>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3" t="s">
        <v>2040</v>
      </c>
      <c r="B60" s="1348"/>
      <c r="C60" s="1348" t="s">
        <v>2042</v>
      </c>
      <c r="D60" s="1348" t="s">
        <v>2043</v>
      </c>
      <c r="E60" s="743" t="s">
        <v>2044</v>
      </c>
      <c r="F60" s="2124" t="s">
        <v>2059</v>
      </c>
      <c r="G60" s="1348" t="s">
        <v>310</v>
      </c>
      <c r="H60" s="2125" t="s">
        <v>2046</v>
      </c>
      <c r="I60" s="1348"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24">
      <c r="A61" s="2123" t="s">
        <v>2060</v>
      </c>
      <c r="B61" s="2126">
        <f>估价对象房地状况!C17</f>
        <v>0</v>
      </c>
      <c r="C61" s="2037"/>
      <c r="D61" s="1065">
        <f t="shared" ref="D61:D69" si="12">SUMIF($J$60:$N$60,C61,J61:N61)</f>
        <v>0</v>
      </c>
      <c r="E61" s="744">
        <f>ROUND(SUM(D61:D69),4)</f>
        <v>0</v>
      </c>
      <c r="F61" s="1811" t="str">
        <f>IF(E2="办公",SUMIF(L1:L12,G2,N1:N12),"——")</f>
        <v>——</v>
      </c>
      <c r="G61" s="1063"/>
      <c r="H61" s="1066" t="str">
        <f t="shared" ref="H61:H69" si="13">IFERROR(ROUNDDOWN($F$61*I61/2,4),"——")</f>
        <v>——</v>
      </c>
      <c r="I61" s="335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3" t="s">
        <v>2049</v>
      </c>
      <c r="B62" s="2127" t="str">
        <f>估价对象房地状况!C18</f>
        <v>较差</v>
      </c>
      <c r="C62" s="2037"/>
      <c r="D62" s="1065">
        <f t="shared" si="12"/>
        <v>0</v>
      </c>
      <c r="E62" s="745"/>
      <c r="F62" s="1811"/>
      <c r="G62" s="1063"/>
      <c r="H62" s="1066" t="str">
        <f t="shared" si="13"/>
        <v>——</v>
      </c>
      <c r="I62" s="335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0" t="s">
        <v>3267</v>
      </c>
      <c r="B63" s="2127">
        <f>估价对象房地状况!C19</f>
        <v>0</v>
      </c>
      <c r="C63" s="2037"/>
      <c r="D63" s="1065">
        <f t="shared" si="12"/>
        <v>0</v>
      </c>
      <c r="E63" s="745"/>
      <c r="F63" s="1811"/>
      <c r="G63" s="1063"/>
      <c r="H63" s="1066" t="str">
        <f t="shared" si="13"/>
        <v>——</v>
      </c>
      <c r="I63" s="335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3" t="s">
        <v>2050</v>
      </c>
      <c r="B64" s="2128" t="s">
        <v>2051</v>
      </c>
      <c r="C64" s="2037"/>
      <c r="D64" s="1065">
        <f t="shared" si="12"/>
        <v>0</v>
      </c>
      <c r="E64" s="745"/>
      <c r="F64" s="1811"/>
      <c r="G64" s="1063"/>
      <c r="H64" s="1066" t="str">
        <f t="shared" si="13"/>
        <v>——</v>
      </c>
      <c r="I64" s="335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3" t="s">
        <v>2052</v>
      </c>
      <c r="B65" s="2127" t="str">
        <f>估价对象房地状况!C24</f>
        <v>次干道</v>
      </c>
      <c r="C65" s="2037"/>
      <c r="D65" s="1065">
        <f t="shared" si="12"/>
        <v>0</v>
      </c>
      <c r="E65" s="745"/>
      <c r="F65" s="1811"/>
      <c r="G65" s="1063"/>
      <c r="H65" s="1066" t="str">
        <f t="shared" si="13"/>
        <v>——</v>
      </c>
      <c r="I65" s="335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3" t="s">
        <v>2053</v>
      </c>
      <c r="B66" s="2129" t="s">
        <v>2054</v>
      </c>
      <c r="C66" s="2037"/>
      <c r="D66" s="1065">
        <f t="shared" si="12"/>
        <v>0</v>
      </c>
      <c r="E66" s="745"/>
      <c r="F66" s="1811"/>
      <c r="G66" s="1063"/>
      <c r="H66" s="1066" t="str">
        <f t="shared" si="13"/>
        <v>——</v>
      </c>
      <c r="I66" s="335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3" t="s">
        <v>2055</v>
      </c>
      <c r="B67" s="1323" t="str">
        <f>估价对象房地状况!C21</f>
        <v>较差</v>
      </c>
      <c r="C67" s="2037"/>
      <c r="D67" s="1065">
        <f t="shared" si="12"/>
        <v>0</v>
      </c>
      <c r="E67" s="745"/>
      <c r="F67" s="1811"/>
      <c r="G67" s="1063"/>
      <c r="H67" s="1066" t="str">
        <f t="shared" si="13"/>
        <v>——</v>
      </c>
      <c r="I67" s="335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3" t="s">
        <v>2056</v>
      </c>
      <c r="B68" s="1323" t="str">
        <f>估价对象房地状况!C22</f>
        <v>七通</v>
      </c>
      <c r="C68" s="2037"/>
      <c r="D68" s="1065">
        <f t="shared" si="12"/>
        <v>0</v>
      </c>
      <c r="E68" s="745"/>
      <c r="F68" s="1811"/>
      <c r="G68" s="1063"/>
      <c r="H68" s="1066" t="str">
        <f t="shared" si="13"/>
        <v>——</v>
      </c>
      <c r="I68" s="335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1" t="s">
        <v>2057</v>
      </c>
      <c r="B69" s="2133" t="str">
        <f>估价对象房地状况!C20</f>
        <v>一般</v>
      </c>
      <c r="C69" s="2037"/>
      <c r="D69" s="1065">
        <f t="shared" si="12"/>
        <v>0</v>
      </c>
      <c r="E69" s="746"/>
      <c r="F69" s="1811"/>
      <c r="G69" s="1063"/>
      <c r="H69" s="1066" t="str">
        <f t="shared" si="13"/>
        <v>——</v>
      </c>
      <c r="I69" s="335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19" t="s">
        <v>2061</v>
      </c>
      <c r="B70" s="2120">
        <f>1+E72</f>
        <v>1</v>
      </c>
      <c r="C70" s="741"/>
      <c r="D70" s="741"/>
      <c r="E70" s="742"/>
      <c r="F70" s="2122"/>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3" t="s">
        <v>2040</v>
      </c>
      <c r="B71" s="1348"/>
      <c r="C71" s="1348" t="s">
        <v>2042</v>
      </c>
      <c r="D71" s="1348" t="s">
        <v>2043</v>
      </c>
      <c r="E71" s="743" t="s">
        <v>2044</v>
      </c>
      <c r="F71" s="2124" t="s">
        <v>2059</v>
      </c>
      <c r="G71" s="1348" t="s">
        <v>310</v>
      </c>
      <c r="H71" s="2125" t="s">
        <v>2046</v>
      </c>
      <c r="I71" s="1348"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24">
      <c r="A72" s="2123" t="s">
        <v>2062</v>
      </c>
      <c r="B72" s="2126" t="str">
        <f>估价对象房地状况!C15</f>
        <v>一般</v>
      </c>
      <c r="C72" s="2037"/>
      <c r="D72" s="1065">
        <f t="shared" ref="D72:D80" si="17">SUMIF($J$71:$N$71,C72,J72:N72)</f>
        <v>0</v>
      </c>
      <c r="E72" s="744">
        <f>ROUND(SUM(D72:D80),4)</f>
        <v>0</v>
      </c>
      <c r="F72" s="1811" t="str">
        <f>IF(E2="住宅",SUMIF(L1:L12,G2,N1:N12),"——")</f>
        <v>——</v>
      </c>
      <c r="G72" s="1063"/>
      <c r="H72" s="1066" t="str">
        <f t="shared" ref="H72:H80" si="18">IFERROR(ROUNDDOWN($F$72*I72/2,4),"——")</f>
        <v>——</v>
      </c>
      <c r="I72" s="335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3" t="s">
        <v>2049</v>
      </c>
      <c r="B73" s="2127" t="str">
        <f>估价对象房地状况!C18</f>
        <v>较差</v>
      </c>
      <c r="C73" s="2037"/>
      <c r="D73" s="1065">
        <f t="shared" si="17"/>
        <v>0</v>
      </c>
      <c r="E73" s="747"/>
      <c r="F73" s="1811"/>
      <c r="G73" s="1063"/>
      <c r="H73" s="1066" t="str">
        <f t="shared" si="18"/>
        <v>——</v>
      </c>
      <c r="I73" s="335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0" customFormat="1" ht="36">
      <c r="A74" s="3360" t="s">
        <v>3267</v>
      </c>
      <c r="B74" s="2127">
        <f>估价对象房地状况!C19</f>
        <v>0</v>
      </c>
      <c r="C74" s="2037"/>
      <c r="D74" s="1065">
        <f t="shared" si="17"/>
        <v>0</v>
      </c>
      <c r="E74" s="747"/>
      <c r="F74" s="1811"/>
      <c r="G74" s="1063"/>
      <c r="H74" s="1066" t="str">
        <f t="shared" si="18"/>
        <v>——</v>
      </c>
      <c r="I74" s="3358">
        <v>0.1</v>
      </c>
      <c r="J74" s="1064">
        <f t="shared" si="19"/>
        <v>0</v>
      </c>
      <c r="K74" s="1064">
        <f t="shared" si="20"/>
        <v>0</v>
      </c>
      <c r="L74" s="1064">
        <v>0</v>
      </c>
      <c r="M74" s="1064">
        <f t="shared" si="21"/>
        <v>0</v>
      </c>
      <c r="N74" s="1064">
        <f t="shared" si="21"/>
        <v>0</v>
      </c>
      <c r="O74" s="1119"/>
      <c r="P74" s="1119"/>
      <c r="Q74" s="1119"/>
      <c r="AA74" s="2134"/>
      <c r="AB74" s="1120"/>
      <c r="AC74" s="1120"/>
      <c r="AD74" s="1120"/>
      <c r="AE74" s="1120"/>
      <c r="AF74" s="1120"/>
      <c r="AG74" s="1120"/>
      <c r="AH74" s="2134"/>
      <c r="AI74" s="2134"/>
      <c r="AJ74" s="2134"/>
      <c r="AK74" s="2134"/>
    </row>
    <row r="75" spans="1:37" ht="14.25">
      <c r="A75" s="2123" t="s">
        <v>2063</v>
      </c>
      <c r="B75" s="2127" t="str">
        <f>估价对象房地状况!C24</f>
        <v>次干道</v>
      </c>
      <c r="C75" s="2037"/>
      <c r="D75" s="1065">
        <f t="shared" si="17"/>
        <v>0</v>
      </c>
      <c r="E75" s="747"/>
      <c r="F75" s="1811"/>
      <c r="G75" s="1063"/>
      <c r="H75" s="1066" t="str">
        <f t="shared" si="18"/>
        <v>——</v>
      </c>
      <c r="I75" s="3358">
        <v>0.05</v>
      </c>
      <c r="J75" s="1064">
        <f t="shared" si="19"/>
        <v>0</v>
      </c>
      <c r="K75" s="1064">
        <f t="shared" si="20"/>
        <v>0</v>
      </c>
      <c r="L75" s="1064">
        <v>0</v>
      </c>
      <c r="M75" s="1064">
        <f t="shared" si="21"/>
        <v>0</v>
      </c>
      <c r="N75" s="1064">
        <f t="shared" si="21"/>
        <v>0</v>
      </c>
      <c r="O75" s="1119"/>
      <c r="P75" s="1119"/>
      <c r="Q75" s="1990"/>
      <c r="Z75" s="1991"/>
      <c r="AA75" s="2046"/>
      <c r="AG75" s="1121"/>
      <c r="AK75" s="2046"/>
    </row>
    <row r="76" spans="1:37" ht="24">
      <c r="A76" s="2123" t="s">
        <v>2055</v>
      </c>
      <c r="B76" s="1323" t="str">
        <f>估价对象房地状况!C21</f>
        <v>较差</v>
      </c>
      <c r="C76" s="2037"/>
      <c r="D76" s="1065">
        <f t="shared" si="17"/>
        <v>0</v>
      </c>
      <c r="E76" s="747"/>
      <c r="F76" s="1811"/>
      <c r="G76" s="1063"/>
      <c r="H76" s="1066" t="str">
        <f t="shared" si="18"/>
        <v>——</v>
      </c>
      <c r="I76" s="3358">
        <v>0.08</v>
      </c>
      <c r="J76" s="1064">
        <f t="shared" si="19"/>
        <v>0</v>
      </c>
      <c r="K76" s="1064">
        <f t="shared" si="20"/>
        <v>0</v>
      </c>
      <c r="L76" s="1064">
        <v>0</v>
      </c>
      <c r="M76" s="1064">
        <f t="shared" si="21"/>
        <v>0</v>
      </c>
      <c r="N76" s="1064">
        <f t="shared" si="21"/>
        <v>0</v>
      </c>
      <c r="O76" s="1119"/>
      <c r="P76" s="1119"/>
      <c r="Z76" s="1991"/>
      <c r="AA76" s="2046"/>
      <c r="AG76" s="1121"/>
      <c r="AK76" s="2046"/>
    </row>
    <row r="77" spans="1:37" ht="24">
      <c r="A77" s="2123" t="s">
        <v>2056</v>
      </c>
      <c r="B77" s="1323" t="str">
        <f>估价对象房地状况!C22</f>
        <v>七通</v>
      </c>
      <c r="C77" s="2037"/>
      <c r="D77" s="1065">
        <f t="shared" si="17"/>
        <v>0</v>
      </c>
      <c r="E77" s="747"/>
      <c r="F77" s="1811"/>
      <c r="G77" s="1063"/>
      <c r="H77" s="1066" t="str">
        <f t="shared" si="18"/>
        <v>——</v>
      </c>
      <c r="I77" s="3358">
        <v>0.09</v>
      </c>
      <c r="J77" s="1064">
        <f t="shared" si="19"/>
        <v>0</v>
      </c>
      <c r="K77" s="1064">
        <f t="shared" si="20"/>
        <v>0</v>
      </c>
      <c r="L77" s="1064">
        <v>0</v>
      </c>
      <c r="M77" s="1064">
        <f t="shared" si="21"/>
        <v>0</v>
      </c>
      <c r="N77" s="1064">
        <f t="shared" si="21"/>
        <v>0</v>
      </c>
      <c r="O77" s="1119"/>
      <c r="P77" s="1119"/>
      <c r="Z77" s="1991"/>
      <c r="AA77" s="2046"/>
      <c r="AG77" s="1121"/>
      <c r="AK77" s="2046"/>
    </row>
    <row r="78" spans="1:37" ht="24">
      <c r="A78" s="2123" t="s">
        <v>2053</v>
      </c>
      <c r="B78" s="2129" t="s">
        <v>2054</v>
      </c>
      <c r="C78" s="2037"/>
      <c r="D78" s="1065">
        <f t="shared" si="17"/>
        <v>0</v>
      </c>
      <c r="E78" s="747"/>
      <c r="F78" s="1811"/>
      <c r="G78" s="1063"/>
      <c r="H78" s="1066" t="str">
        <f t="shared" si="18"/>
        <v>——</v>
      </c>
      <c r="I78" s="3358">
        <v>0.05</v>
      </c>
      <c r="J78" s="1064">
        <f t="shared" si="19"/>
        <v>0</v>
      </c>
      <c r="K78" s="1064">
        <f t="shared" si="20"/>
        <v>0</v>
      </c>
      <c r="L78" s="1064">
        <v>0</v>
      </c>
      <c r="M78" s="1064">
        <f t="shared" si="21"/>
        <v>0</v>
      </c>
      <c r="N78" s="1064">
        <f t="shared" si="21"/>
        <v>0</v>
      </c>
      <c r="O78" s="1990"/>
      <c r="P78" s="1990"/>
      <c r="Z78" s="1991"/>
      <c r="AA78" s="2046"/>
      <c r="AG78" s="1121"/>
      <c r="AK78" s="2046"/>
    </row>
    <row r="79" spans="1:37" ht="24">
      <c r="A79" s="2123" t="s">
        <v>2057</v>
      </c>
      <c r="B79" s="2126" t="str">
        <f>估价对象房地状况!C20</f>
        <v>一般</v>
      </c>
      <c r="C79" s="2037"/>
      <c r="D79" s="1065">
        <f t="shared" si="17"/>
        <v>0</v>
      </c>
      <c r="E79" s="747"/>
      <c r="F79" s="1811"/>
      <c r="G79" s="1063"/>
      <c r="H79" s="1066" t="str">
        <f t="shared" si="18"/>
        <v>——</v>
      </c>
      <c r="I79" s="3358">
        <v>0.12</v>
      </c>
      <c r="J79" s="1064">
        <f t="shared" si="19"/>
        <v>0</v>
      </c>
      <c r="K79" s="1064">
        <f t="shared" si="20"/>
        <v>0</v>
      </c>
      <c r="L79" s="1064">
        <v>0</v>
      </c>
      <c r="M79" s="1064">
        <f t="shared" si="21"/>
        <v>0</v>
      </c>
      <c r="N79" s="1064">
        <f t="shared" si="21"/>
        <v>0</v>
      </c>
      <c r="Z79" s="1991"/>
      <c r="AA79" s="2046"/>
      <c r="AG79" s="1121"/>
      <c r="AK79" s="2046"/>
    </row>
    <row r="80" spans="1:37" ht="24.75" thickBot="1">
      <c r="A80" s="2131" t="s">
        <v>2064</v>
      </c>
      <c r="B80" s="2135"/>
      <c r="C80" s="2037"/>
      <c r="D80" s="1065">
        <f t="shared" si="17"/>
        <v>0</v>
      </c>
      <c r="E80" s="748"/>
      <c r="F80" s="1811"/>
      <c r="G80" s="1063"/>
      <c r="H80" s="1066" t="str">
        <f t="shared" si="18"/>
        <v>——</v>
      </c>
      <c r="I80" s="3359">
        <v>0.05</v>
      </c>
      <c r="J80" s="1064">
        <f t="shared" si="19"/>
        <v>0</v>
      </c>
      <c r="K80" s="1064">
        <f t="shared" si="20"/>
        <v>0</v>
      </c>
      <c r="L80" s="1064">
        <v>0</v>
      </c>
      <c r="M80" s="1064">
        <f t="shared" si="21"/>
        <v>0</v>
      </c>
      <c r="N80" s="1064">
        <f t="shared" si="21"/>
        <v>0</v>
      </c>
      <c r="Z80" s="1991"/>
      <c r="AA80" s="2046"/>
      <c r="AG80" s="1121"/>
      <c r="AK80" s="2046"/>
    </row>
    <row r="81" spans="1:37" ht="15">
      <c r="A81" s="2119" t="s">
        <v>2065</v>
      </c>
      <c r="B81" s="2120">
        <f>1+E83</f>
        <v>1</v>
      </c>
      <c r="C81" s="741"/>
      <c r="D81" s="741"/>
      <c r="E81" s="742"/>
      <c r="F81" s="2122"/>
      <c r="G81" s="3"/>
      <c r="H81" s="3"/>
      <c r="I81" s="3"/>
      <c r="J81" s="4"/>
      <c r="K81" s="4"/>
      <c r="L81" s="4"/>
      <c r="M81" s="4"/>
      <c r="N81" s="4"/>
      <c r="Z81" s="1991"/>
      <c r="AA81" s="2046"/>
      <c r="AG81" s="1121"/>
      <c r="AK81" s="2046"/>
    </row>
    <row r="82" spans="1:37" ht="24.75">
      <c r="A82" s="2123" t="s">
        <v>2040</v>
      </c>
      <c r="B82" s="1348"/>
      <c r="C82" s="1348" t="s">
        <v>2042</v>
      </c>
      <c r="D82" s="1348" t="s">
        <v>2043</v>
      </c>
      <c r="E82" s="743" t="s">
        <v>2044</v>
      </c>
      <c r="F82" s="2124" t="s">
        <v>2059</v>
      </c>
      <c r="G82" s="1348" t="s">
        <v>310</v>
      </c>
      <c r="H82" s="2125" t="s">
        <v>2046</v>
      </c>
      <c r="I82" s="1348" t="s">
        <v>2047</v>
      </c>
      <c r="J82" s="552" t="s">
        <v>1718</v>
      </c>
      <c r="K82" s="552" t="s">
        <v>1719</v>
      </c>
      <c r="L82" s="552" t="s">
        <v>1720</v>
      </c>
      <c r="M82" s="552" t="s">
        <v>1721</v>
      </c>
      <c r="N82" s="552" t="s">
        <v>1722</v>
      </c>
      <c r="Z82" s="1991"/>
      <c r="AA82" s="2046"/>
      <c r="AG82" s="1121"/>
      <c r="AK82" s="2046"/>
    </row>
    <row r="83" spans="1:37" ht="38.25">
      <c r="A83" s="2123" t="s">
        <v>2066</v>
      </c>
      <c r="B83" s="2127" t="str">
        <f>估价对象房地状况!G15</f>
        <v>估价对象位于XX开发区，园区建设成熟度XX，产业集聚程度XX</v>
      </c>
      <c r="C83" s="2037"/>
      <c r="D83" s="1065">
        <f t="shared" ref="D83:D90" si="22">SUMIF($J$82:$N$82,C83,J83:N83)</f>
        <v>0</v>
      </c>
      <c r="E83" s="744">
        <f>ROUND(SUM(D83:D90),4)</f>
        <v>0</v>
      </c>
      <c r="F83" s="1811">
        <f>IF(E2="工业",SUMIF(L1:L12,G2,N1:N12),"——")</f>
        <v>0</v>
      </c>
      <c r="G83" s="1063"/>
      <c r="H83" s="1066">
        <f t="shared" ref="H83:H90" si="23">IFERROR(ROUNDDOWN($F$83*I83/2,4),"——")</f>
        <v>0</v>
      </c>
      <c r="I83" s="3358">
        <v>0.26</v>
      </c>
      <c r="J83" s="1064">
        <f t="shared" ref="J83:J90" si="24">K83+$G83</f>
        <v>0</v>
      </c>
      <c r="K83" s="1064">
        <f t="shared" ref="K83:K90" si="25">$L83+$G83</f>
        <v>0</v>
      </c>
      <c r="L83" s="1064">
        <v>0</v>
      </c>
      <c r="M83" s="1064">
        <f t="shared" ref="M83:N90" si="26">L83-$G83</f>
        <v>0</v>
      </c>
      <c r="N83" s="1064">
        <f t="shared" si="26"/>
        <v>0</v>
      </c>
      <c r="Z83" s="1991"/>
      <c r="AA83" s="2046"/>
      <c r="AG83" s="1121"/>
      <c r="AK83" s="2046"/>
    </row>
    <row r="84" spans="1:37" ht="38.25">
      <c r="A84" s="2123" t="s">
        <v>2049</v>
      </c>
      <c r="B84" s="2127" t="str">
        <f>估价对象房地状况!G16</f>
        <v>估价对象周边道路状况、公共交通通达情况、停车便捷程度，综合评价交通便捷度较好</v>
      </c>
      <c r="C84" s="2037"/>
      <c r="D84" s="1065">
        <f t="shared" si="22"/>
        <v>0</v>
      </c>
      <c r="E84" s="747"/>
      <c r="F84" s="1811"/>
      <c r="G84" s="1063"/>
      <c r="H84" s="1066">
        <f t="shared" si="23"/>
        <v>0</v>
      </c>
      <c r="I84" s="3358">
        <v>0.3</v>
      </c>
      <c r="J84" s="1064">
        <f t="shared" si="24"/>
        <v>0</v>
      </c>
      <c r="K84" s="1064">
        <f t="shared" si="25"/>
        <v>0</v>
      </c>
      <c r="L84" s="1064">
        <v>0</v>
      </c>
      <c r="M84" s="1064">
        <f t="shared" si="26"/>
        <v>0</v>
      </c>
      <c r="N84" s="1064">
        <f t="shared" si="26"/>
        <v>0</v>
      </c>
      <c r="Z84" s="1991"/>
      <c r="AA84" s="2046"/>
      <c r="AG84" s="1121"/>
      <c r="AK84" s="2046"/>
    </row>
    <row r="85" spans="1:37" ht="36">
      <c r="A85" s="3360" t="s">
        <v>3268</v>
      </c>
      <c r="B85" s="2127">
        <f>估价对象房地状况!G17</f>
        <v>0</v>
      </c>
      <c r="C85" s="2037"/>
      <c r="D85" s="1065">
        <f t="shared" si="22"/>
        <v>0</v>
      </c>
      <c r="E85" s="747"/>
      <c r="F85" s="1811"/>
      <c r="G85" s="1063"/>
      <c r="H85" s="1066">
        <f t="shared" si="23"/>
        <v>0</v>
      </c>
      <c r="I85" s="3358">
        <v>0.1</v>
      </c>
      <c r="J85" s="1064">
        <f t="shared" si="24"/>
        <v>0</v>
      </c>
      <c r="K85" s="1064">
        <f t="shared" si="25"/>
        <v>0</v>
      </c>
      <c r="L85" s="1064">
        <v>0</v>
      </c>
      <c r="M85" s="1064">
        <f t="shared" si="26"/>
        <v>0</v>
      </c>
      <c r="N85" s="1064">
        <f t="shared" si="26"/>
        <v>0</v>
      </c>
      <c r="Z85" s="1991"/>
      <c r="AA85" s="2046"/>
      <c r="AG85" s="1121"/>
      <c r="AK85" s="2046"/>
    </row>
    <row r="86" spans="1:37" ht="14.25">
      <c r="A86" s="2123" t="s">
        <v>2063</v>
      </c>
      <c r="B86" s="2127">
        <f>估价对象房地状况!G22</f>
        <v>0</v>
      </c>
      <c r="C86" s="2037"/>
      <c r="D86" s="1065">
        <f t="shared" si="22"/>
        <v>0</v>
      </c>
      <c r="E86" s="747"/>
      <c r="F86" s="1811"/>
      <c r="G86" s="1063"/>
      <c r="H86" s="1066">
        <f t="shared" si="23"/>
        <v>0</v>
      </c>
      <c r="I86" s="3358">
        <v>0.05</v>
      </c>
      <c r="J86" s="1064">
        <f t="shared" si="24"/>
        <v>0</v>
      </c>
      <c r="K86" s="1064">
        <f t="shared" si="25"/>
        <v>0</v>
      </c>
      <c r="L86" s="1064">
        <v>0</v>
      </c>
      <c r="M86" s="1064">
        <f t="shared" si="26"/>
        <v>0</v>
      </c>
      <c r="N86" s="1064">
        <f t="shared" si="26"/>
        <v>0</v>
      </c>
      <c r="Z86" s="1991"/>
      <c r="AA86" s="2046"/>
      <c r="AG86" s="1121"/>
      <c r="AK86" s="2046"/>
    </row>
    <row r="87" spans="1:37" ht="25.5">
      <c r="A87" s="2123" t="s">
        <v>2055</v>
      </c>
      <c r="B87" s="1323" t="str">
        <f>估价对象房地状况!G19</f>
        <v>估价对象所在区域公共配套设施齐备情况</v>
      </c>
      <c r="C87" s="2037"/>
      <c r="D87" s="1065">
        <f t="shared" si="22"/>
        <v>0</v>
      </c>
      <c r="E87" s="747"/>
      <c r="F87" s="1811"/>
      <c r="G87" s="1063"/>
      <c r="H87" s="1066">
        <f t="shared" si="23"/>
        <v>0</v>
      </c>
      <c r="I87" s="3358">
        <v>0.06</v>
      </c>
      <c r="J87" s="1064">
        <f t="shared" si="24"/>
        <v>0</v>
      </c>
      <c r="K87" s="1064">
        <f t="shared" si="25"/>
        <v>0</v>
      </c>
      <c r="L87" s="1064">
        <v>0</v>
      </c>
      <c r="M87" s="1064">
        <f t="shared" si="26"/>
        <v>0</v>
      </c>
      <c r="N87" s="1064">
        <f t="shared" si="26"/>
        <v>0</v>
      </c>
    </row>
    <row r="88" spans="1:37" ht="25.5">
      <c r="A88" s="2123" t="s">
        <v>2056</v>
      </c>
      <c r="B88" s="1323" t="str">
        <f>估价对象房地状况!G20</f>
        <v>估价对象所在区域基础设施水平</v>
      </c>
      <c r="C88" s="2037"/>
      <c r="D88" s="1065">
        <f t="shared" si="22"/>
        <v>0</v>
      </c>
      <c r="E88" s="747"/>
      <c r="F88" s="1811"/>
      <c r="G88" s="1063"/>
      <c r="H88" s="1066">
        <f t="shared" si="23"/>
        <v>0</v>
      </c>
      <c r="I88" s="3358">
        <v>0.12</v>
      </c>
      <c r="J88" s="1064">
        <f t="shared" si="24"/>
        <v>0</v>
      </c>
      <c r="K88" s="1064">
        <f t="shared" si="25"/>
        <v>0</v>
      </c>
      <c r="L88" s="1064">
        <v>0</v>
      </c>
      <c r="M88" s="1064">
        <f t="shared" si="26"/>
        <v>0</v>
      </c>
      <c r="N88" s="1064">
        <f t="shared" si="26"/>
        <v>0</v>
      </c>
    </row>
    <row r="89" spans="1:37" ht="24">
      <c r="A89" s="2123" t="s">
        <v>2053</v>
      </c>
      <c r="B89" s="2129" t="s">
        <v>2067</v>
      </c>
      <c r="C89" s="2037"/>
      <c r="D89" s="1065">
        <f t="shared" si="22"/>
        <v>0</v>
      </c>
      <c r="E89" s="747"/>
      <c r="F89" s="1811"/>
      <c r="G89" s="1063"/>
      <c r="H89" s="1066">
        <f t="shared" si="23"/>
        <v>0</v>
      </c>
      <c r="I89" s="3358">
        <v>0.06</v>
      </c>
      <c r="J89" s="1064">
        <f t="shared" si="24"/>
        <v>0</v>
      </c>
      <c r="K89" s="1064">
        <f t="shared" si="25"/>
        <v>0</v>
      </c>
      <c r="L89" s="1064">
        <v>0</v>
      </c>
      <c r="M89" s="1064">
        <f t="shared" si="26"/>
        <v>0</v>
      </c>
      <c r="N89" s="1064">
        <f t="shared" si="26"/>
        <v>0</v>
      </c>
    </row>
    <row r="90" spans="1:37" ht="39" thickBot="1">
      <c r="A90" s="2131" t="s">
        <v>2068</v>
      </c>
      <c r="B90" s="2136" t="str">
        <f>估价对象房地状况!G18</f>
        <v>该园区内是否有污染型企业，绿化情况，卫生条件，整体环境状况判断</v>
      </c>
      <c r="C90" s="2037"/>
      <c r="D90" s="1065">
        <f t="shared" si="22"/>
        <v>0</v>
      </c>
      <c r="E90" s="748"/>
      <c r="F90" s="1811"/>
      <c r="G90" s="1063"/>
      <c r="H90" s="1066">
        <f t="shared" si="23"/>
        <v>0</v>
      </c>
      <c r="I90" s="3359">
        <v>0.05</v>
      </c>
      <c r="J90" s="1064">
        <f t="shared" si="24"/>
        <v>0</v>
      </c>
      <c r="K90" s="1064">
        <f t="shared" si="25"/>
        <v>0</v>
      </c>
      <c r="L90" s="1064">
        <v>0</v>
      </c>
      <c r="M90" s="1064">
        <f t="shared" si="26"/>
        <v>0</v>
      </c>
      <c r="N90" s="1064">
        <f t="shared" si="26"/>
        <v>0</v>
      </c>
    </row>
    <row r="91" spans="1:37" ht="15">
      <c r="A91" s="3368" t="s">
        <v>2608</v>
      </c>
      <c r="B91" s="3369">
        <f>1+E93</f>
        <v>1</v>
      </c>
      <c r="C91" s="3362"/>
      <c r="D91" s="3363"/>
      <c r="E91" s="1811"/>
      <c r="F91" s="1811"/>
      <c r="G91" s="3364"/>
      <c r="H91" s="3365"/>
      <c r="I91" s="3366"/>
      <c r="J91" s="3367"/>
      <c r="K91" s="3367"/>
      <c r="L91" s="3367"/>
      <c r="M91" s="3367"/>
      <c r="N91" s="3367"/>
    </row>
    <row r="92" spans="1:37" ht="24.75">
      <c r="A92" s="3370" t="s">
        <v>3269</v>
      </c>
      <c r="B92" s="3357"/>
      <c r="C92" s="3357" t="s">
        <v>3278</v>
      </c>
      <c r="D92" s="3357" t="s">
        <v>3279</v>
      </c>
      <c r="E92" s="3339" t="s">
        <v>3280</v>
      </c>
      <c r="F92" s="3372" t="s">
        <v>3281</v>
      </c>
      <c r="G92" s="3357" t="s">
        <v>3282</v>
      </c>
      <c r="H92" s="3379" t="s">
        <v>3285</v>
      </c>
      <c r="I92" s="3357" t="s">
        <v>3286</v>
      </c>
      <c r="J92" s="3380" t="s">
        <v>3287</v>
      </c>
      <c r="K92" s="3380" t="s">
        <v>3288</v>
      </c>
      <c r="L92" s="3380" t="s">
        <v>3289</v>
      </c>
      <c r="M92" s="3380" t="s">
        <v>3290</v>
      </c>
      <c r="N92" s="3380" t="s">
        <v>3291</v>
      </c>
    </row>
    <row r="93" spans="1:37" ht="24">
      <c r="A93" s="3360" t="s">
        <v>3270</v>
      </c>
      <c r="B93" s="1303"/>
      <c r="C93" s="2037"/>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3271</v>
      </c>
      <c r="B94" s="3361" t="str">
        <f>估价对象房地状况!C18</f>
        <v>较差</v>
      </c>
      <c r="C94" s="2037"/>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3267</v>
      </c>
      <c r="B95" s="3361">
        <f>估价对象房地状况!C19</f>
        <v>0</v>
      </c>
      <c r="C95" s="2037"/>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3272</v>
      </c>
      <c r="B96" s="3376" t="s">
        <v>3283</v>
      </c>
      <c r="C96" s="2037"/>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3273</v>
      </c>
      <c r="B97" s="3361" t="str">
        <f>估价对象房地状况!C24</f>
        <v>次干道</v>
      </c>
      <c r="C97" s="2037"/>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3274</v>
      </c>
      <c r="B98" s="3377" t="s">
        <v>3284</v>
      </c>
      <c r="C98" s="2037"/>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3275</v>
      </c>
      <c r="B99" s="3361" t="str">
        <f>估价对象房地状况!C21</f>
        <v>较差</v>
      </c>
      <c r="C99" s="2037"/>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3276</v>
      </c>
      <c r="B100" s="3361" t="str">
        <f>估价对象房地状况!C22</f>
        <v>七通</v>
      </c>
      <c r="C100" s="2037"/>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3277</v>
      </c>
      <c r="B101" s="3378" t="str">
        <f>估价对象房地状况!C20</f>
        <v>一般</v>
      </c>
      <c r="C101" s="2037"/>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829" t="s">
        <v>3292</v>
      </c>
      <c r="B103" s="3829"/>
      <c r="C103" s="3829"/>
      <c r="D103" s="3829"/>
      <c r="E103" s="3829"/>
      <c r="F103" s="3829"/>
      <c r="G103" s="3829"/>
      <c r="H103" s="3829"/>
      <c r="I103" s="3829"/>
      <c r="J103" s="3829"/>
      <c r="K103" s="3381"/>
      <c r="L103" s="3381"/>
      <c r="M103" s="3381"/>
      <c r="N103" s="3381"/>
    </row>
    <row r="104" spans="1:14">
      <c r="A104" s="3830" t="s">
        <v>3293</v>
      </c>
      <c r="B104" s="3830" t="s">
        <v>3294</v>
      </c>
      <c r="C104" s="3382" t="s">
        <v>3295</v>
      </c>
      <c r="D104" s="3383"/>
      <c r="E104" s="3383"/>
      <c r="F104" s="3383"/>
      <c r="G104" s="3383"/>
      <c r="H104" s="3383"/>
      <c r="I104" s="3383"/>
      <c r="J104" s="3384"/>
      <c r="K104" s="3385"/>
      <c r="L104" s="3385"/>
      <c r="M104" s="3385"/>
      <c r="N104" s="3385"/>
    </row>
    <row r="105" spans="1:14">
      <c r="A105" s="3830"/>
      <c r="B105" s="3830"/>
      <c r="C105" s="3386" t="s">
        <v>3296</v>
      </c>
      <c r="D105" s="3386" t="s">
        <v>3297</v>
      </c>
      <c r="E105" s="3386" t="s">
        <v>3298</v>
      </c>
      <c r="F105" s="3386" t="s">
        <v>3299</v>
      </c>
      <c r="G105" s="3386" t="s">
        <v>3300</v>
      </c>
      <c r="H105" s="3386" t="s">
        <v>3301</v>
      </c>
      <c r="I105" s="3386" t="s">
        <v>3302</v>
      </c>
      <c r="J105" s="3386" t="s">
        <v>3303</v>
      </c>
      <c r="K105" s="3386" t="s">
        <v>3304</v>
      </c>
      <c r="L105" s="3386" t="s">
        <v>3305</v>
      </c>
      <c r="M105" s="3386" t="s">
        <v>3306</v>
      </c>
      <c r="N105" s="3386" t="s">
        <v>3307</v>
      </c>
    </row>
    <row r="106" spans="1:14">
      <c r="A106" s="3816" t="s">
        <v>3308</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817"/>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817"/>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817"/>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817"/>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817"/>
      <c r="B111" s="3386" t="s">
        <v>3266</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818"/>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819" t="s">
        <v>3309</v>
      </c>
      <c r="B113" s="3819"/>
      <c r="C113" s="3819"/>
      <c r="D113" s="3819"/>
      <c r="E113" s="3819"/>
      <c r="F113" s="3819"/>
      <c r="G113" s="3819"/>
      <c r="H113" s="3819"/>
      <c r="I113" s="3819"/>
      <c r="J113" s="3819"/>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3310</v>
      </c>
      <c r="B116" s="3407">
        <f>G3</f>
        <v>2</v>
      </c>
      <c r="C116" s="3391" t="s">
        <v>3311</v>
      </c>
      <c r="D116" s="3392">
        <f>SUMPRODUCT((A118:A122=F116)*(B117:M117=H116)*B118:M122)</f>
        <v>0</v>
      </c>
      <c r="E116" s="1993" t="s">
        <v>3312</v>
      </c>
      <c r="F116" s="3393" t="str">
        <f>E2</f>
        <v>工业</v>
      </c>
      <c r="G116" s="1993" t="s">
        <v>3313</v>
      </c>
      <c r="H116" s="3393">
        <f>G2</f>
        <v>0</v>
      </c>
      <c r="I116" s="1993"/>
      <c r="J116" s="3394"/>
      <c r="K116" s="3394"/>
      <c r="L116" s="3394"/>
      <c r="M116" s="3394"/>
      <c r="N116" s="3389"/>
    </row>
    <row r="117" spans="1:14">
      <c r="A117" s="3395"/>
      <c r="B117" s="3396" t="s">
        <v>3314</v>
      </c>
      <c r="C117" s="3396" t="s">
        <v>3315</v>
      </c>
      <c r="D117" s="3396" t="s">
        <v>3316</v>
      </c>
      <c r="E117" s="3397" t="s">
        <v>3317</v>
      </c>
      <c r="F117" s="3397" t="s">
        <v>3318</v>
      </c>
      <c r="G117" s="3397" t="s">
        <v>3319</v>
      </c>
      <c r="H117" s="3398" t="s">
        <v>3320</v>
      </c>
      <c r="I117" s="3398" t="s">
        <v>3321</v>
      </c>
      <c r="J117" s="3399" t="s">
        <v>3322</v>
      </c>
      <c r="K117" s="3399" t="s">
        <v>3323</v>
      </c>
      <c r="L117" s="3399" t="s">
        <v>3324</v>
      </c>
      <c r="M117" s="3400" t="s">
        <v>3325</v>
      </c>
      <c r="N117" s="3389"/>
    </row>
    <row r="118" spans="1:14">
      <c r="A118" s="3401" t="s">
        <v>3326</v>
      </c>
      <c r="B118" s="3379">
        <f>ROUND(0.9968-0.011*B116,4)</f>
        <v>0.9748</v>
      </c>
      <c r="C118" s="3379">
        <f>B118</f>
        <v>0.9748</v>
      </c>
      <c r="D118" s="3379">
        <f>ROUND(0.949-0.014*B116,4)</f>
        <v>0.92100000000000004</v>
      </c>
      <c r="E118" s="3379">
        <f>D118</f>
        <v>0.92100000000000004</v>
      </c>
      <c r="F118" s="3379">
        <f>E118</f>
        <v>0.92100000000000004</v>
      </c>
      <c r="G118" s="3379">
        <f>F118</f>
        <v>0.92100000000000004</v>
      </c>
      <c r="H118" s="3379">
        <f>G118</f>
        <v>0.92100000000000004</v>
      </c>
      <c r="I118" s="3379">
        <f>ROUND(0.8486-0.018*B116,4)</f>
        <v>0.81259999999999999</v>
      </c>
      <c r="J118" s="3379">
        <f t="shared" ref="J118:M122" si="35">I118</f>
        <v>0.81259999999999999</v>
      </c>
      <c r="K118" s="3379">
        <f t="shared" si="35"/>
        <v>0.81259999999999999</v>
      </c>
      <c r="L118" s="3379">
        <f t="shared" si="35"/>
        <v>0.81259999999999999</v>
      </c>
      <c r="M118" s="3402">
        <f t="shared" si="35"/>
        <v>0.81259999999999999</v>
      </c>
      <c r="N118" s="3389"/>
    </row>
    <row r="119" spans="1:14">
      <c r="A119" s="3401" t="s">
        <v>3327</v>
      </c>
      <c r="B119" s="3379">
        <f>ROUND(0.993-0.0112*B116,4)</f>
        <v>0.97060000000000002</v>
      </c>
      <c r="C119" s="3379">
        <f>B119</f>
        <v>0.97060000000000002</v>
      </c>
      <c r="D119" s="3379">
        <f>ROUND(0.9415-0.0142*B116,4)</f>
        <v>0.91310000000000002</v>
      </c>
      <c r="E119" s="3379">
        <f t="shared" ref="E119:H120" si="36">D119</f>
        <v>0.91310000000000002</v>
      </c>
      <c r="F119" s="3379">
        <f t="shared" si="36"/>
        <v>0.91310000000000002</v>
      </c>
      <c r="G119" s="3379">
        <f t="shared" si="36"/>
        <v>0.91310000000000002</v>
      </c>
      <c r="H119" s="3379">
        <f t="shared" si="36"/>
        <v>0.91310000000000002</v>
      </c>
      <c r="I119" s="3379">
        <f>ROUND(0.838-0.0182*B116,4)</f>
        <v>0.80159999999999998</v>
      </c>
      <c r="J119" s="3379">
        <f t="shared" si="35"/>
        <v>0.80159999999999998</v>
      </c>
      <c r="K119" s="3379">
        <f t="shared" si="35"/>
        <v>0.80159999999999998</v>
      </c>
      <c r="L119" s="3379">
        <f t="shared" si="35"/>
        <v>0.80159999999999998</v>
      </c>
      <c r="M119" s="3402">
        <f t="shared" si="35"/>
        <v>0.80159999999999998</v>
      </c>
      <c r="N119" s="3389"/>
    </row>
    <row r="120" spans="1:14">
      <c r="A120" s="3401" t="s">
        <v>3328</v>
      </c>
      <c r="B120" s="3379">
        <f>ROUND(0.9448-0.0115*B116,4)</f>
        <v>0.92179999999999995</v>
      </c>
      <c r="C120" s="3379">
        <f>B120</f>
        <v>0.92179999999999995</v>
      </c>
      <c r="D120" s="3379">
        <f>ROUND(0.937-0.0145*B116,4)</f>
        <v>0.90800000000000003</v>
      </c>
      <c r="E120" s="3379">
        <f t="shared" si="36"/>
        <v>0.90800000000000003</v>
      </c>
      <c r="F120" s="3379">
        <f t="shared" si="36"/>
        <v>0.90800000000000003</v>
      </c>
      <c r="G120" s="3379">
        <f t="shared" si="36"/>
        <v>0.90800000000000003</v>
      </c>
      <c r="H120" s="3379">
        <f t="shared" si="36"/>
        <v>0.90800000000000003</v>
      </c>
      <c r="I120" s="3379">
        <f>ROUND(0.7965-0.0185*B116,4)</f>
        <v>0.75949999999999995</v>
      </c>
      <c r="J120" s="3379">
        <f t="shared" si="35"/>
        <v>0.75949999999999995</v>
      </c>
      <c r="K120" s="3379">
        <f t="shared" si="35"/>
        <v>0.75949999999999995</v>
      </c>
      <c r="L120" s="3379">
        <f t="shared" si="35"/>
        <v>0.75949999999999995</v>
      </c>
      <c r="M120" s="3402">
        <f t="shared" si="35"/>
        <v>0.75949999999999995</v>
      </c>
      <c r="N120" s="3389"/>
    </row>
    <row r="121" spans="1:14" ht="13.5" thickBot="1">
      <c r="A121" s="3403" t="s">
        <v>3329</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35"/>
        <v>0.55249999999999999</v>
      </c>
      <c r="K121" s="3404">
        <f t="shared" si="35"/>
        <v>0.55249999999999999</v>
      </c>
      <c r="L121" s="3404">
        <f t="shared" si="35"/>
        <v>0.55249999999999999</v>
      </c>
      <c r="M121" s="3405">
        <f t="shared" si="35"/>
        <v>0.55249999999999999</v>
      </c>
      <c r="N121" s="3389"/>
    </row>
    <row r="122" spans="1:14">
      <c r="A122" s="3406" t="s">
        <v>2608</v>
      </c>
      <c r="B122" s="3379">
        <f>ROUND(0.9404-0.0106*B116,4)</f>
        <v>0.91920000000000002</v>
      </c>
      <c r="C122" s="3379">
        <f>B122</f>
        <v>0.91920000000000002</v>
      </c>
      <c r="D122" s="3379">
        <f>ROUND(0.8955-0.0135*B116,4)</f>
        <v>0.86850000000000005</v>
      </c>
      <c r="E122" s="3379">
        <f t="shared" ref="E122:H122" si="37">D122</f>
        <v>0.86850000000000005</v>
      </c>
      <c r="F122" s="3379">
        <f t="shared" si="37"/>
        <v>0.86850000000000005</v>
      </c>
      <c r="G122" s="3379">
        <f t="shared" si="37"/>
        <v>0.86850000000000005</v>
      </c>
      <c r="H122" s="3379">
        <f t="shared" si="37"/>
        <v>0.86850000000000005</v>
      </c>
      <c r="I122" s="3379">
        <f>ROUND(0.7632-0.0166*B116,4)</f>
        <v>0.73</v>
      </c>
      <c r="J122" s="3379">
        <f t="shared" si="35"/>
        <v>0.73</v>
      </c>
      <c r="K122" s="3379">
        <f t="shared" si="35"/>
        <v>0.73</v>
      </c>
      <c r="L122" s="3379">
        <f t="shared" si="35"/>
        <v>0.73</v>
      </c>
      <c r="M122" s="3402">
        <f t="shared" si="35"/>
        <v>0.73</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90"/>
      <c r="B4" s="3518" t="s">
        <v>917</v>
      </c>
      <c r="C4" s="3518"/>
      <c r="D4" s="3518"/>
      <c r="E4" s="1490"/>
    </row>
    <row r="5" spans="1:5" ht="16.5" thickTop="1">
      <c r="A5" s="1488"/>
      <c r="B5" s="3516" t="s">
        <v>909</v>
      </c>
      <c r="C5" s="1491" t="s">
        <v>910</v>
      </c>
      <c r="D5" s="850">
        <f ca="1">结果表!H101</f>
        <v>188794</v>
      </c>
      <c r="E5" s="1488"/>
    </row>
    <row r="6" spans="1:5" ht="15.75">
      <c r="A6" s="1488"/>
      <c r="B6" s="3516"/>
      <c r="C6" s="1491" t="s">
        <v>911</v>
      </c>
      <c r="D6" s="850" t="str">
        <f ca="1">NUMBERSTRING(INT(D5*10000),2)&amp;"元整"</f>
        <v>壹拾捌亿捌仟柒佰玖拾肆万元整</v>
      </c>
      <c r="E6" s="1488"/>
    </row>
    <row r="7" spans="1:5" ht="15.75">
      <c r="A7" s="1488"/>
      <c r="B7" s="3521"/>
      <c r="C7" s="1492" t="s">
        <v>912</v>
      </c>
      <c r="D7" s="851">
        <f ca="1">结果表!H102</f>
        <v>12159</v>
      </c>
      <c r="E7" s="1488"/>
    </row>
    <row r="8" spans="1:5" ht="15.75">
      <c r="A8" s="1488"/>
      <c r="B8" s="3522" t="str">
        <f>结果表!E103</f>
        <v>2.估价师知悉的法定优先受偿款</v>
      </c>
      <c r="C8" s="1493" t="s">
        <v>913</v>
      </c>
      <c r="D8" s="851">
        <f>结果表!H103</f>
        <v>0</v>
      </c>
      <c r="E8" s="1488"/>
    </row>
    <row r="9" spans="1:5" ht="15.75">
      <c r="A9" s="1488"/>
      <c r="B9" s="3524"/>
      <c r="C9" s="1491" t="s">
        <v>911</v>
      </c>
      <c r="D9" s="850" t="str">
        <f>NUMBERSTRING(INT(D8*10000),2)&amp;"元整"</f>
        <v>零元整</v>
      </c>
      <c r="E9" s="1488"/>
    </row>
    <row r="10" spans="1:5" ht="15">
      <c r="A10" s="1488"/>
      <c r="B10" s="1494" t="s">
        <v>916</v>
      </c>
      <c r="C10" s="1495" t="s">
        <v>914</v>
      </c>
      <c r="D10" s="852">
        <f>结果表!H104</f>
        <v>0</v>
      </c>
      <c r="E10" s="1488"/>
    </row>
    <row r="11" spans="1:5" ht="15">
      <c r="A11" s="1488"/>
      <c r="B11" s="1494" t="s">
        <v>918</v>
      </c>
      <c r="C11" s="1495" t="s">
        <v>919</v>
      </c>
      <c r="D11" s="852">
        <f>结果表!H105</f>
        <v>0</v>
      </c>
      <c r="E11" s="1488"/>
    </row>
    <row r="12" spans="1:5" ht="15">
      <c r="A12" s="1488"/>
      <c r="B12" s="1494" t="s">
        <v>920</v>
      </c>
      <c r="C12" s="1495" t="s">
        <v>919</v>
      </c>
      <c r="D12" s="852">
        <f>结果表!H106</f>
        <v>0</v>
      </c>
      <c r="E12" s="1488"/>
    </row>
    <row r="13" spans="1:5" ht="15.75">
      <c r="A13" s="1488"/>
      <c r="B13" s="3515" t="str">
        <f>结果表!E107</f>
        <v>3.房地产抵押价值</v>
      </c>
      <c r="C13" s="1496" t="s">
        <v>910</v>
      </c>
      <c r="D13" s="853">
        <f ca="1">结果表!H107</f>
        <v>188794</v>
      </c>
      <c r="E13" s="1488"/>
    </row>
    <row r="14" spans="1:5" ht="15.75">
      <c r="A14" s="1488"/>
      <c r="B14" s="3516"/>
      <c r="C14" s="1491" t="s">
        <v>911</v>
      </c>
      <c r="D14" s="850" t="str">
        <f ca="1">NUMBERSTRING(INT(D13*10000),2)&amp;"元整"</f>
        <v>壹拾捌亿捌仟柒佰玖拾肆万元整</v>
      </c>
      <c r="E14" s="1488"/>
    </row>
    <row r="15" spans="1:5" ht="15">
      <c r="A15" s="1488"/>
      <c r="B15" s="3521"/>
      <c r="C15" s="1492" t="s">
        <v>921</v>
      </c>
      <c r="D15" s="859">
        <f ca="1">结果表!H108</f>
        <v>12159</v>
      </c>
      <c r="E15" s="1488"/>
    </row>
    <row r="16" spans="1:5" ht="15">
      <c r="A16" s="1488"/>
      <c r="B16" s="3522" t="str">
        <f>结果表!E109</f>
        <v>——</v>
      </c>
      <c r="C16" s="1496" t="s">
        <v>922</v>
      </c>
      <c r="D16" s="1497" t="str">
        <f>结果表!H109</f>
        <v>——</v>
      </c>
      <c r="E16" s="1488"/>
    </row>
    <row r="17" spans="1:5" ht="15.75">
      <c r="A17" s="1488"/>
      <c r="B17" s="3523"/>
      <c r="C17" s="1491" t="s">
        <v>923</v>
      </c>
      <c r="D17" s="850" t="e">
        <f>NUMBERSTRING(INT(D16*10000),2)&amp;"元整"</f>
        <v>#VALUE!</v>
      </c>
      <c r="E17" s="1488"/>
    </row>
    <row r="18" spans="1:5" ht="15">
      <c r="A18" s="1488"/>
      <c r="B18" s="3524"/>
      <c r="C18" s="1492" t="s">
        <v>912</v>
      </c>
      <c r="D18" s="859" t="str">
        <f>结果表!H110</f>
        <v>——</v>
      </c>
      <c r="E18" s="1488"/>
    </row>
    <row r="19" spans="1:5" ht="15.75">
      <c r="A19" s="1488"/>
      <c r="B19" s="3515" t="str">
        <f>结果表!E111</f>
        <v>——</v>
      </c>
      <c r="C19" s="1496" t="s">
        <v>910</v>
      </c>
      <c r="D19" s="851" t="str">
        <f>结果表!H111</f>
        <v>——</v>
      </c>
      <c r="E19" s="1488"/>
    </row>
    <row r="20" spans="1:5" ht="15.75">
      <c r="A20" s="1488"/>
      <c r="B20" s="3516"/>
      <c r="C20" s="1491" t="s">
        <v>923</v>
      </c>
      <c r="D20" s="850" t="e">
        <f>NUMBERSTRING(INT(D19*10000),2)&amp;"元整"</f>
        <v>#VALUE!</v>
      </c>
      <c r="E20" s="1488"/>
    </row>
    <row r="21" spans="1:5" ht="15.75" thickBot="1">
      <c r="A21" s="1488"/>
      <c r="B21" s="3517"/>
      <c r="C21" s="1498" t="s">
        <v>921</v>
      </c>
      <c r="D21" s="860"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2590</v>
      </c>
      <c r="B1" s="3063" t="s">
        <v>2591</v>
      </c>
      <c r="C1" s="3063" t="s">
        <v>2592</v>
      </c>
      <c r="D1" s="3063" t="s">
        <v>2593</v>
      </c>
      <c r="E1" s="3063" t="s">
        <v>2594</v>
      </c>
      <c r="F1" s="3063" t="s">
        <v>2595</v>
      </c>
      <c r="G1" s="3063" t="s">
        <v>2596</v>
      </c>
      <c r="H1" s="3063" t="s">
        <v>2597</v>
      </c>
      <c r="I1" s="3063" t="s">
        <v>2598</v>
      </c>
      <c r="J1" s="3063" t="s">
        <v>2599</v>
      </c>
      <c r="K1" s="3063" t="s">
        <v>2600</v>
      </c>
      <c r="L1" s="3063" t="s">
        <v>2601</v>
      </c>
      <c r="M1" s="3064" t="s">
        <v>2602</v>
      </c>
    </row>
    <row r="2" spans="1:13" ht="19.5" customHeight="1">
      <c r="A2" s="3066" t="s">
        <v>2603</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2604</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2605</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2606</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2607</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2608</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2609</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2610</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2611</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2612</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2613</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2614</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2615</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2616</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2617</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2618</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2619</v>
      </c>
      <c r="B18" s="3088"/>
      <c r="C18" s="3089"/>
      <c r="D18" s="3089"/>
      <c r="E18" s="3088"/>
      <c r="F18" s="3089"/>
      <c r="G18" s="3089"/>
    </row>
    <row r="19" spans="1:13" ht="19.5" customHeight="1" thickBot="1">
      <c r="A19" s="3086" t="s">
        <v>2620</v>
      </c>
      <c r="B19" s="3091" t="s">
        <v>2621</v>
      </c>
      <c r="C19" s="3091" t="s">
        <v>2622</v>
      </c>
      <c r="D19" s="3092"/>
      <c r="E19" s="3086" t="s">
        <v>2623</v>
      </c>
      <c r="F19" s="3093"/>
      <c r="G19" s="3093"/>
    </row>
    <row r="20" spans="1:13" ht="19.5" customHeight="1">
      <c r="A20" s="3842" t="s">
        <v>2603</v>
      </c>
      <c r="B20" s="3835" t="s">
        <v>2624</v>
      </c>
      <c r="C20" s="3094" t="s">
        <v>2435</v>
      </c>
      <c r="D20" s="3095"/>
      <c r="E20" s="3096">
        <v>1</v>
      </c>
      <c r="F20" s="3097" t="s">
        <v>2436</v>
      </c>
      <c r="G20" s="3097"/>
    </row>
    <row r="21" spans="1:13" ht="19.5" customHeight="1">
      <c r="A21" s="3843"/>
      <c r="B21" s="3836"/>
      <c r="C21" s="3098" t="s">
        <v>2437</v>
      </c>
      <c r="D21" s="3099"/>
      <c r="E21" s="3100">
        <v>1</v>
      </c>
      <c r="F21" s="3097" t="s">
        <v>2438</v>
      </c>
      <c r="G21" s="3097"/>
    </row>
    <row r="22" spans="1:13" ht="19.5" customHeight="1">
      <c r="A22" s="3843"/>
      <c r="B22" s="3836"/>
      <c r="C22" s="3098" t="s">
        <v>2439</v>
      </c>
      <c r="D22" s="3099"/>
      <c r="E22" s="3100">
        <v>0.9</v>
      </c>
      <c r="F22" s="3097" t="s">
        <v>2440</v>
      </c>
      <c r="G22" s="3097"/>
    </row>
    <row r="23" spans="1:13" ht="19.5" customHeight="1">
      <c r="A23" s="3843"/>
      <c r="B23" s="3836"/>
      <c r="C23" s="3098" t="s">
        <v>2441</v>
      </c>
      <c r="D23" s="3099"/>
      <c r="E23" s="3100">
        <v>0.9</v>
      </c>
      <c r="F23" s="3097" t="s">
        <v>2442</v>
      </c>
      <c r="G23" s="3097"/>
    </row>
    <row r="24" spans="1:13" ht="19.5" customHeight="1">
      <c r="A24" s="3843"/>
      <c r="B24" s="3836"/>
      <c r="C24" s="3098" t="s">
        <v>2443</v>
      </c>
      <c r="D24" s="3099"/>
      <c r="E24" s="3100">
        <v>0.8</v>
      </c>
      <c r="F24" s="3097" t="s">
        <v>2444</v>
      </c>
      <c r="G24" s="3097"/>
    </row>
    <row r="25" spans="1:13" ht="19.5" customHeight="1" thickBot="1">
      <c r="A25" s="3844"/>
      <c r="B25" s="3837"/>
      <c r="C25" s="3101" t="s">
        <v>2445</v>
      </c>
      <c r="D25" s="3102"/>
      <c r="E25" s="3103">
        <v>0.8</v>
      </c>
      <c r="F25" s="3097" t="s">
        <v>2446</v>
      </c>
      <c r="G25" s="3097"/>
    </row>
    <row r="26" spans="1:13" ht="19.5" customHeight="1" thickBot="1">
      <c r="A26" s="3104" t="s">
        <v>2625</v>
      </c>
      <c r="B26" s="3105" t="s">
        <v>2624</v>
      </c>
      <c r="C26" s="3106" t="s">
        <v>2626</v>
      </c>
      <c r="D26" s="3107"/>
      <c r="E26" s="3108">
        <v>1</v>
      </c>
      <c r="F26" s="3097" t="s">
        <v>2447</v>
      </c>
      <c r="G26" s="3097"/>
    </row>
    <row r="27" spans="1:13" ht="19.5" customHeight="1">
      <c r="A27" s="3838" t="s">
        <v>2627</v>
      </c>
      <c r="B27" s="3835" t="s">
        <v>2608</v>
      </c>
      <c r="C27" s="3094" t="s">
        <v>2448</v>
      </c>
      <c r="D27" s="3095"/>
      <c r="E27" s="3096">
        <v>1</v>
      </c>
      <c r="F27" s="3097" t="s">
        <v>2449</v>
      </c>
      <c r="G27" s="3097"/>
    </row>
    <row r="28" spans="1:13" ht="19.5" customHeight="1">
      <c r="A28" s="3839"/>
      <c r="B28" s="3836"/>
      <c r="C28" s="3098" t="s">
        <v>2450</v>
      </c>
      <c r="D28" s="3099"/>
      <c r="E28" s="3100">
        <v>1</v>
      </c>
      <c r="F28" s="3097" t="s">
        <v>2451</v>
      </c>
      <c r="G28" s="3097"/>
    </row>
    <row r="29" spans="1:13" ht="19.5" customHeight="1">
      <c r="A29" s="3839"/>
      <c r="B29" s="3836"/>
      <c r="C29" s="3098" t="s">
        <v>2452</v>
      </c>
      <c r="D29" s="3099"/>
      <c r="E29" s="3100">
        <v>0.8</v>
      </c>
      <c r="F29" s="3097" t="s">
        <v>2453</v>
      </c>
      <c r="G29" s="3097"/>
    </row>
    <row r="30" spans="1:13" ht="19.5" customHeight="1">
      <c r="A30" s="3839"/>
      <c r="B30" s="3836"/>
      <c r="C30" s="3098" t="s">
        <v>2454</v>
      </c>
      <c r="D30" s="3099"/>
      <c r="E30" s="3100">
        <v>0.8</v>
      </c>
      <c r="F30" s="3097" t="s">
        <v>2455</v>
      </c>
      <c r="G30" s="3097"/>
    </row>
    <row r="31" spans="1:13" ht="19.5" customHeight="1">
      <c r="A31" s="3839"/>
      <c r="B31" s="3836"/>
      <c r="C31" s="3098" t="s">
        <v>2456</v>
      </c>
      <c r="D31" s="3099"/>
      <c r="E31" s="3100">
        <v>0.8</v>
      </c>
      <c r="F31" s="3097" t="s">
        <v>2457</v>
      </c>
      <c r="G31" s="3097"/>
    </row>
    <row r="32" spans="1:13" ht="19.5" customHeight="1">
      <c r="A32" s="3839"/>
      <c r="B32" s="3836"/>
      <c r="C32" s="3098" t="s">
        <v>2458</v>
      </c>
      <c r="D32" s="3099"/>
      <c r="E32" s="3100">
        <v>0.7</v>
      </c>
      <c r="F32" s="3097" t="s">
        <v>2459</v>
      </c>
      <c r="G32" s="3097"/>
    </row>
    <row r="33" spans="1:7" ht="19.5" customHeight="1">
      <c r="A33" s="3839"/>
      <c r="B33" s="3836"/>
      <c r="C33" s="3098" t="s">
        <v>2460</v>
      </c>
      <c r="D33" s="3099"/>
      <c r="E33" s="3100">
        <v>0.8</v>
      </c>
      <c r="F33" s="3097" t="s">
        <v>2461</v>
      </c>
      <c r="G33" s="3097"/>
    </row>
    <row r="34" spans="1:7" ht="19.5" customHeight="1">
      <c r="A34" s="3839"/>
      <c r="B34" s="3836"/>
      <c r="C34" s="3098" t="s">
        <v>2462</v>
      </c>
      <c r="D34" s="3099"/>
      <c r="E34" s="3100">
        <v>0.6</v>
      </c>
      <c r="F34" s="3097" t="s">
        <v>2463</v>
      </c>
      <c r="G34" s="3097"/>
    </row>
    <row r="35" spans="1:7" ht="19.5" customHeight="1">
      <c r="A35" s="3839"/>
      <c r="B35" s="3836"/>
      <c r="C35" s="3098" t="s">
        <v>2464</v>
      </c>
      <c r="D35" s="3099"/>
      <c r="E35" s="3100">
        <v>0.2</v>
      </c>
      <c r="F35" s="3097" t="s">
        <v>2465</v>
      </c>
      <c r="G35" s="3097"/>
    </row>
    <row r="36" spans="1:7" ht="19.5" customHeight="1">
      <c r="A36" s="3839"/>
      <c r="B36" s="3836"/>
      <c r="C36" s="3098" t="s">
        <v>2466</v>
      </c>
      <c r="D36" s="3099"/>
      <c r="E36" s="3100">
        <v>0.2</v>
      </c>
      <c r="F36" s="3097" t="s">
        <v>2467</v>
      </c>
      <c r="G36" s="3097"/>
    </row>
    <row r="37" spans="1:7" ht="19.5" customHeight="1">
      <c r="A37" s="3839"/>
      <c r="B37" s="3841" t="s">
        <v>2628</v>
      </c>
      <c r="C37" s="3098" t="s">
        <v>2468</v>
      </c>
      <c r="D37" s="3099"/>
      <c r="E37" s="3100">
        <v>0.6</v>
      </c>
      <c r="F37" s="3097" t="s">
        <v>2469</v>
      </c>
      <c r="G37" s="3097"/>
    </row>
    <row r="38" spans="1:7" ht="19.5" customHeight="1">
      <c r="A38" s="3839"/>
      <c r="B38" s="3836"/>
      <c r="C38" s="3098" t="s">
        <v>2470</v>
      </c>
      <c r="D38" s="3099"/>
      <c r="E38" s="3100">
        <v>0.6</v>
      </c>
      <c r="F38" s="3097" t="s">
        <v>2471</v>
      </c>
      <c r="G38" s="3097"/>
    </row>
    <row r="39" spans="1:7" ht="19.5" customHeight="1" thickBot="1">
      <c r="A39" s="3840"/>
      <c r="B39" s="3837"/>
      <c r="C39" s="3101" t="s">
        <v>2472</v>
      </c>
      <c r="D39" s="3102"/>
      <c r="E39" s="3103">
        <v>0.6</v>
      </c>
      <c r="F39" s="3097" t="s">
        <v>2473</v>
      </c>
      <c r="G39" s="3097"/>
    </row>
    <row r="40" spans="1:7" ht="19.5" customHeight="1" thickBot="1">
      <c r="A40" s="3104" t="s">
        <v>2605</v>
      </c>
      <c r="B40" s="3105" t="s">
        <v>2605</v>
      </c>
      <c r="C40" s="3106" t="s">
        <v>2629</v>
      </c>
      <c r="D40" s="3107"/>
      <c r="E40" s="3108">
        <v>1</v>
      </c>
      <c r="F40" s="3097" t="s">
        <v>2474</v>
      </c>
      <c r="G40" s="3097"/>
    </row>
    <row r="41" spans="1:7" ht="19.5" customHeight="1">
      <c r="A41" s="3842" t="s">
        <v>2606</v>
      </c>
      <c r="B41" s="3835" t="s">
        <v>2630</v>
      </c>
      <c r="C41" s="3094" t="s">
        <v>2475</v>
      </c>
      <c r="D41" s="3095"/>
      <c r="E41" s="3096">
        <v>1</v>
      </c>
      <c r="F41" s="3097" t="s">
        <v>2476</v>
      </c>
      <c r="G41" s="3097"/>
    </row>
    <row r="42" spans="1:7" ht="19.5" customHeight="1">
      <c r="A42" s="3843"/>
      <c r="B42" s="3836"/>
      <c r="C42" s="3098" t="s">
        <v>2477</v>
      </c>
      <c r="D42" s="3099"/>
      <c r="E42" s="3100">
        <v>1</v>
      </c>
      <c r="F42" s="3097" t="s">
        <v>2478</v>
      </c>
      <c r="G42" s="3097"/>
    </row>
    <row r="43" spans="1:7" ht="19.5" customHeight="1">
      <c r="A43" s="3843"/>
      <c r="B43" s="3845"/>
      <c r="C43" s="3098" t="s">
        <v>2479</v>
      </c>
      <c r="D43" s="3099"/>
      <c r="E43" s="3100">
        <v>1.5</v>
      </c>
      <c r="F43" s="3097" t="s">
        <v>2480</v>
      </c>
      <c r="G43" s="3097"/>
    </row>
    <row r="44" spans="1:7" ht="19.5" customHeight="1">
      <c r="A44" s="3843"/>
      <c r="B44" s="3109" t="s">
        <v>2631</v>
      </c>
      <c r="C44" s="3098" t="s">
        <v>2632</v>
      </c>
      <c r="D44" s="3099"/>
      <c r="E44" s="3100">
        <v>2</v>
      </c>
      <c r="F44" s="3097" t="s">
        <v>2481</v>
      </c>
      <c r="G44" s="3097"/>
    </row>
    <row r="45" spans="1:7" ht="19.5" customHeight="1">
      <c r="A45" s="3843"/>
      <c r="B45" s="3841" t="s">
        <v>2633</v>
      </c>
      <c r="C45" s="3098" t="s">
        <v>2482</v>
      </c>
      <c r="D45" s="3099"/>
      <c r="E45" s="3100">
        <v>1</v>
      </c>
      <c r="F45" s="3097" t="s">
        <v>2483</v>
      </c>
      <c r="G45" s="3097"/>
    </row>
    <row r="46" spans="1:7" ht="19.5" customHeight="1">
      <c r="A46" s="3843"/>
      <c r="B46" s="3836"/>
      <c r="C46" s="3098" t="s">
        <v>2484</v>
      </c>
      <c r="D46" s="3099"/>
      <c r="E46" s="3100">
        <v>1</v>
      </c>
      <c r="F46" s="3097" t="s">
        <v>2485</v>
      </c>
      <c r="G46" s="3097"/>
    </row>
    <row r="47" spans="1:7" ht="19.5" customHeight="1">
      <c r="A47" s="3843"/>
      <c r="B47" s="3836"/>
      <c r="C47" s="3098" t="s">
        <v>2486</v>
      </c>
      <c r="D47" s="3099"/>
      <c r="E47" s="3100">
        <v>1</v>
      </c>
      <c r="F47" s="3097" t="s">
        <v>2487</v>
      </c>
      <c r="G47" s="3097"/>
    </row>
    <row r="48" spans="1:7" ht="19.5" customHeight="1">
      <c r="A48" s="3843"/>
      <c r="B48" s="3836"/>
      <c r="C48" s="3098" t="s">
        <v>2488</v>
      </c>
      <c r="D48" s="3099"/>
      <c r="E48" s="3100">
        <v>1</v>
      </c>
      <c r="F48" s="3097" t="s">
        <v>2489</v>
      </c>
      <c r="G48" s="3097"/>
    </row>
    <row r="49" spans="1:7" ht="19.5" customHeight="1">
      <c r="A49" s="3843"/>
      <c r="B49" s="3836"/>
      <c r="C49" s="3098" t="s">
        <v>2490</v>
      </c>
      <c r="D49" s="3099"/>
      <c r="E49" s="3100">
        <v>1</v>
      </c>
      <c r="F49" s="3097" t="s">
        <v>2491</v>
      </c>
      <c r="G49" s="3097"/>
    </row>
    <row r="50" spans="1:7" ht="19.5" customHeight="1">
      <c r="A50" s="3843"/>
      <c r="B50" s="3836"/>
      <c r="C50" s="3098" t="s">
        <v>2492</v>
      </c>
      <c r="D50" s="3099"/>
      <c r="E50" s="3100">
        <v>1</v>
      </c>
      <c r="F50" s="3097" t="s">
        <v>2493</v>
      </c>
      <c r="G50" s="3097"/>
    </row>
    <row r="51" spans="1:7" ht="19.5" customHeight="1" thickBot="1">
      <c r="A51" s="3844"/>
      <c r="B51" s="3837"/>
      <c r="C51" s="3101" t="s">
        <v>2494</v>
      </c>
      <c r="D51" s="3102"/>
      <c r="E51" s="3103">
        <v>1</v>
      </c>
      <c r="F51" s="3097" t="s">
        <v>2495</v>
      </c>
      <c r="G51" s="3097"/>
    </row>
    <row r="52" spans="1:7" ht="19.5" customHeight="1">
      <c r="A52" s="3110"/>
      <c r="B52" s="3110"/>
      <c r="C52" s="3110"/>
      <c r="D52" s="3110"/>
      <c r="E52" s="3110"/>
      <c r="F52" s="3110"/>
      <c r="G52" s="3110"/>
    </row>
    <row r="54" spans="1:7" ht="19.5" customHeight="1">
      <c r="A54" s="3111"/>
      <c r="B54" s="3083" t="s">
        <v>2634</v>
      </c>
      <c r="C54" s="3083" t="s">
        <v>2634</v>
      </c>
      <c r="D54" s="3083" t="s">
        <v>2634</v>
      </c>
      <c r="E54" s="3086" t="s">
        <v>2634</v>
      </c>
      <c r="F54" s="3086" t="s">
        <v>2635</v>
      </c>
      <c r="G54" s="3086" t="s">
        <v>2636</v>
      </c>
    </row>
    <row r="55" spans="1:7" ht="19.5" customHeight="1">
      <c r="A55" s="3112"/>
      <c r="B55" s="3086" t="s">
        <v>2603</v>
      </c>
      <c r="C55" s="3086" t="s">
        <v>2603</v>
      </c>
      <c r="D55" s="3086" t="s">
        <v>2603</v>
      </c>
      <c r="E55" s="3083" t="s">
        <v>2604</v>
      </c>
      <c r="F55" s="3083" t="s">
        <v>2606</v>
      </c>
      <c r="G55" s="3083" t="s">
        <v>2637</v>
      </c>
    </row>
    <row r="56" spans="1:7" ht="19.5" customHeight="1">
      <c r="A56" s="3113"/>
      <c r="B56" s="3083">
        <v>1</v>
      </c>
      <c r="C56" s="3083">
        <v>2</v>
      </c>
      <c r="D56" s="3083">
        <v>3</v>
      </c>
      <c r="E56" s="3114" t="s">
        <v>2638</v>
      </c>
      <c r="F56" s="3114" t="s">
        <v>2638</v>
      </c>
      <c r="G56" s="3114" t="s">
        <v>2638</v>
      </c>
    </row>
    <row r="57" spans="1:7" ht="19.5" customHeight="1">
      <c r="A57" s="3115" t="s">
        <v>2591</v>
      </c>
      <c r="B57" s="3083">
        <v>0.7</v>
      </c>
      <c r="C57" s="3083">
        <v>0.4</v>
      </c>
      <c r="D57" s="3083">
        <v>0.3</v>
      </c>
      <c r="E57" s="3114">
        <v>0.3</v>
      </c>
      <c r="F57" s="3083">
        <v>0.3</v>
      </c>
      <c r="G57" s="3083">
        <v>0.2</v>
      </c>
    </row>
    <row r="58" spans="1:7" ht="19.5" customHeight="1">
      <c r="A58" s="3115" t="s">
        <v>2592</v>
      </c>
      <c r="B58" s="3083">
        <v>0.7</v>
      </c>
      <c r="C58" s="3083">
        <v>0.4</v>
      </c>
      <c r="D58" s="3083">
        <v>0.3</v>
      </c>
      <c r="E58" s="3083">
        <v>0.3</v>
      </c>
      <c r="F58" s="3083">
        <v>0.3</v>
      </c>
      <c r="G58" s="3083">
        <v>0.2</v>
      </c>
    </row>
    <row r="59" spans="1:7" ht="19.5" customHeight="1">
      <c r="A59" s="3115" t="s">
        <v>2593</v>
      </c>
      <c r="B59" s="3083">
        <v>0.6</v>
      </c>
      <c r="C59" s="3083">
        <v>0.3</v>
      </c>
      <c r="D59" s="3083">
        <v>0.25</v>
      </c>
      <c r="E59" s="3083">
        <v>0.25</v>
      </c>
      <c r="F59" s="3083">
        <v>0.25</v>
      </c>
      <c r="G59" s="3083">
        <v>0.15</v>
      </c>
    </row>
    <row r="60" spans="1:7" ht="19.5" customHeight="1">
      <c r="A60" s="3115" t="s">
        <v>2594</v>
      </c>
      <c r="B60" s="3083">
        <v>0.6</v>
      </c>
      <c r="C60" s="3083">
        <v>0.3</v>
      </c>
      <c r="D60" s="3083">
        <v>0.25</v>
      </c>
      <c r="E60" s="3083">
        <v>0.25</v>
      </c>
      <c r="F60" s="3083">
        <v>0.25</v>
      </c>
      <c r="G60" s="3083">
        <v>0.15</v>
      </c>
    </row>
    <row r="61" spans="1:7" ht="19.5" customHeight="1">
      <c r="A61" s="3115" t="s">
        <v>2595</v>
      </c>
      <c r="B61" s="3083">
        <v>0.6</v>
      </c>
      <c r="C61" s="3083">
        <v>0.3</v>
      </c>
      <c r="D61" s="3083">
        <v>0.25</v>
      </c>
      <c r="E61" s="3083">
        <v>0.25</v>
      </c>
      <c r="F61" s="3083">
        <v>0.25</v>
      </c>
      <c r="G61" s="3083">
        <v>0.15</v>
      </c>
    </row>
    <row r="62" spans="1:7" ht="19.5" customHeight="1">
      <c r="A62" s="3115" t="s">
        <v>2596</v>
      </c>
      <c r="B62" s="3083">
        <v>0.6</v>
      </c>
      <c r="C62" s="3083">
        <v>0.3</v>
      </c>
      <c r="D62" s="3083">
        <v>0.25</v>
      </c>
      <c r="E62" s="3083">
        <v>0.25</v>
      </c>
      <c r="F62" s="3083">
        <v>0.25</v>
      </c>
      <c r="G62" s="3083">
        <v>0.15</v>
      </c>
    </row>
    <row r="63" spans="1:7" ht="19.5" customHeight="1">
      <c r="A63" s="3115" t="s">
        <v>2597</v>
      </c>
      <c r="B63" s="3083">
        <v>0.6</v>
      </c>
      <c r="C63" s="3083">
        <v>0.3</v>
      </c>
      <c r="D63" s="3083">
        <v>0.25</v>
      </c>
      <c r="E63" s="3083">
        <v>0.25</v>
      </c>
      <c r="F63" s="3083">
        <v>0.25</v>
      </c>
      <c r="G63" s="3083">
        <v>0.15</v>
      </c>
    </row>
    <row r="64" spans="1:7" ht="19.5" customHeight="1">
      <c r="A64" s="3115" t="s">
        <v>2598</v>
      </c>
      <c r="B64" s="3083">
        <v>0.5</v>
      </c>
      <c r="C64" s="3083">
        <v>0.2</v>
      </c>
      <c r="D64" s="3083">
        <v>0.2</v>
      </c>
      <c r="E64" s="3083">
        <v>0.2</v>
      </c>
      <c r="F64" s="3083">
        <v>0.2</v>
      </c>
      <c r="G64" s="3083">
        <v>0.1</v>
      </c>
    </row>
    <row r="65" spans="1:7" ht="19.5" customHeight="1">
      <c r="A65" s="3115" t="s">
        <v>2599</v>
      </c>
      <c r="B65" s="3083">
        <v>0.5</v>
      </c>
      <c r="C65" s="3083">
        <v>0.2</v>
      </c>
      <c r="D65" s="3083">
        <v>0.2</v>
      </c>
      <c r="E65" s="3083">
        <v>0.2</v>
      </c>
      <c r="F65" s="3083">
        <v>0.2</v>
      </c>
      <c r="G65" s="3083">
        <v>0.1</v>
      </c>
    </row>
    <row r="66" spans="1:7" ht="19.5" customHeight="1">
      <c r="A66" s="3115" t="s">
        <v>2600</v>
      </c>
      <c r="B66" s="3083">
        <v>0.5</v>
      </c>
      <c r="C66" s="3083">
        <v>0.2</v>
      </c>
      <c r="D66" s="3083">
        <v>0.2</v>
      </c>
      <c r="E66" s="3083">
        <v>0.2</v>
      </c>
      <c r="F66" s="3083">
        <v>0.2</v>
      </c>
      <c r="G66" s="3083">
        <v>0.1</v>
      </c>
    </row>
    <row r="67" spans="1:7" ht="19.5" customHeight="1">
      <c r="A67" s="3115" t="s">
        <v>2601</v>
      </c>
      <c r="B67" s="3083">
        <v>0.5</v>
      </c>
      <c r="C67" s="3083">
        <v>0.2</v>
      </c>
      <c r="D67" s="3083">
        <v>0.2</v>
      </c>
      <c r="E67" s="3083">
        <v>0.2</v>
      </c>
      <c r="F67" s="3083">
        <v>0.2</v>
      </c>
      <c r="G67" s="3083">
        <v>0.1</v>
      </c>
    </row>
    <row r="68" spans="1:7" ht="19.5" customHeight="1">
      <c r="A68" s="3115" t="s">
        <v>2602</v>
      </c>
      <c r="B68" s="3083">
        <v>0.5</v>
      </c>
      <c r="C68" s="3083">
        <v>0.2</v>
      </c>
      <c r="D68" s="3083">
        <v>0.2</v>
      </c>
      <c r="E68" s="3083">
        <v>0.2</v>
      </c>
      <c r="F68" s="3083">
        <v>0.2</v>
      </c>
      <c r="G68" s="3083">
        <v>0.1</v>
      </c>
    </row>
    <row r="70" spans="1:7" ht="19.5" customHeight="1">
      <c r="A70" s="3116"/>
      <c r="B70" s="3117"/>
      <c r="C70" s="3117"/>
      <c r="D70" s="3117" t="s">
        <v>2639</v>
      </c>
      <c r="E70" s="3117"/>
      <c r="F70" s="3117"/>
    </row>
    <row r="71" spans="1:7" ht="19.5" customHeight="1">
      <c r="A71" s="3109" t="s">
        <v>2640</v>
      </c>
      <c r="B71" s="3109" t="s">
        <v>2641</v>
      </c>
      <c r="C71" s="3109" t="s">
        <v>2642</v>
      </c>
      <c r="D71" s="3109" t="s">
        <v>2643</v>
      </c>
      <c r="E71" s="3109" t="s">
        <v>2644</v>
      </c>
      <c r="F71" s="3109" t="s">
        <v>2645</v>
      </c>
    </row>
    <row r="72" spans="1:7" ht="13.5">
      <c r="A72" s="3109"/>
      <c r="B72" s="3109"/>
      <c r="C72" s="3109" t="s">
        <v>2646</v>
      </c>
      <c r="D72" s="3109"/>
      <c r="E72" s="3109" t="s">
        <v>2617</v>
      </c>
      <c r="F72" s="3109" t="s">
        <v>2617</v>
      </c>
    </row>
    <row r="73" spans="1:7" ht="13.5">
      <c r="A73" s="3109">
        <v>1</v>
      </c>
      <c r="B73" s="3841" t="s">
        <v>2647</v>
      </c>
      <c r="C73" s="3083" t="s">
        <v>2648</v>
      </c>
      <c r="D73" s="3083" t="s">
        <v>2649</v>
      </c>
      <c r="E73" s="3109">
        <v>0.2</v>
      </c>
      <c r="F73" s="3109">
        <v>25</v>
      </c>
    </row>
    <row r="74" spans="1:7" ht="24">
      <c r="A74" s="3109">
        <v>2</v>
      </c>
      <c r="B74" s="3836"/>
      <c r="C74" s="3083" t="s">
        <v>2650</v>
      </c>
      <c r="D74" s="3083" t="s">
        <v>2651</v>
      </c>
      <c r="E74" s="3109">
        <v>0.2</v>
      </c>
      <c r="F74" s="3109">
        <v>25</v>
      </c>
    </row>
    <row r="75" spans="1:7" ht="24">
      <c r="A75" s="3109">
        <v>3</v>
      </c>
      <c r="B75" s="3836"/>
      <c r="C75" s="3083" t="s">
        <v>2652</v>
      </c>
      <c r="D75" s="3083" t="s">
        <v>2653</v>
      </c>
      <c r="E75" s="3109">
        <v>0.2</v>
      </c>
      <c r="F75" s="3109">
        <v>25</v>
      </c>
    </row>
    <row r="76" spans="1:7" ht="13.5">
      <c r="A76" s="3109">
        <v>4</v>
      </c>
      <c r="B76" s="3836"/>
      <c r="C76" s="3083" t="s">
        <v>2654</v>
      </c>
      <c r="D76" s="3083" t="s">
        <v>2655</v>
      </c>
      <c r="E76" s="3109">
        <v>0.15</v>
      </c>
      <c r="F76" s="3109">
        <v>20</v>
      </c>
    </row>
    <row r="77" spans="1:7" ht="24">
      <c r="A77" s="3109">
        <v>5</v>
      </c>
      <c r="B77" s="3836"/>
      <c r="C77" s="3083" t="s">
        <v>2656</v>
      </c>
      <c r="D77" s="3083" t="s">
        <v>2657</v>
      </c>
      <c r="E77" s="3109">
        <v>0.15</v>
      </c>
      <c r="F77" s="3109">
        <v>20</v>
      </c>
    </row>
    <row r="78" spans="1:7" ht="24">
      <c r="A78" s="3109">
        <v>6</v>
      </c>
      <c r="B78" s="3836"/>
      <c r="C78" s="3083" t="s">
        <v>2658</v>
      </c>
      <c r="D78" s="3083" t="s">
        <v>2659</v>
      </c>
      <c r="E78" s="3109">
        <v>0.15</v>
      </c>
      <c r="F78" s="3109">
        <v>20</v>
      </c>
    </row>
    <row r="79" spans="1:7" ht="24">
      <c r="A79" s="3109">
        <v>7</v>
      </c>
      <c r="B79" s="3836"/>
      <c r="C79" s="3083" t="s">
        <v>2660</v>
      </c>
      <c r="D79" s="3083" t="s">
        <v>2661</v>
      </c>
      <c r="E79" s="3109">
        <v>0.15</v>
      </c>
      <c r="F79" s="3109">
        <v>20</v>
      </c>
    </row>
    <row r="80" spans="1:7" ht="24">
      <c r="A80" s="3109">
        <v>8</v>
      </c>
      <c r="B80" s="3836"/>
      <c r="C80" s="3083" t="s">
        <v>2662</v>
      </c>
      <c r="D80" s="3083" t="s">
        <v>2663</v>
      </c>
      <c r="E80" s="3109">
        <v>0.1</v>
      </c>
      <c r="F80" s="3109">
        <v>15</v>
      </c>
    </row>
    <row r="81" spans="1:6" ht="24">
      <c r="A81" s="3109">
        <v>9</v>
      </c>
      <c r="B81" s="3836"/>
      <c r="C81" s="3083" t="s">
        <v>2664</v>
      </c>
      <c r="D81" s="3083" t="s">
        <v>2665</v>
      </c>
      <c r="E81" s="3109">
        <v>0.1</v>
      </c>
      <c r="F81" s="3109">
        <v>15</v>
      </c>
    </row>
    <row r="82" spans="1:6" ht="24">
      <c r="A82" s="3109">
        <v>10</v>
      </c>
      <c r="B82" s="3836"/>
      <c r="C82" s="3083" t="s">
        <v>2666</v>
      </c>
      <c r="D82" s="3083" t="s">
        <v>2667</v>
      </c>
      <c r="E82" s="3109">
        <v>0.1</v>
      </c>
      <c r="F82" s="3109">
        <v>15</v>
      </c>
    </row>
    <row r="83" spans="1:6" ht="24">
      <c r="A83" s="3109">
        <v>11</v>
      </c>
      <c r="B83" s="3836"/>
      <c r="C83" s="3083" t="s">
        <v>2668</v>
      </c>
      <c r="D83" s="3083" t="s">
        <v>2669</v>
      </c>
      <c r="E83" s="3109">
        <v>0.1</v>
      </c>
      <c r="F83" s="3109">
        <v>15</v>
      </c>
    </row>
    <row r="84" spans="1:6" ht="24">
      <c r="A84" s="3109">
        <v>12</v>
      </c>
      <c r="B84" s="3836"/>
      <c r="C84" s="3083" t="s">
        <v>2670</v>
      </c>
      <c r="D84" s="3083" t="s">
        <v>2671</v>
      </c>
      <c r="E84" s="3109">
        <v>0.1</v>
      </c>
      <c r="F84" s="3109">
        <v>15</v>
      </c>
    </row>
    <row r="85" spans="1:6" ht="13.5">
      <c r="A85" s="3109">
        <v>13</v>
      </c>
      <c r="B85" s="3836"/>
      <c r="C85" s="3083" t="s">
        <v>2672</v>
      </c>
      <c r="D85" s="3083" t="s">
        <v>2673</v>
      </c>
      <c r="E85" s="3109">
        <v>0.1</v>
      </c>
      <c r="F85" s="3109">
        <v>15</v>
      </c>
    </row>
    <row r="86" spans="1:6" ht="13.5">
      <c r="A86" s="3109">
        <v>14</v>
      </c>
      <c r="B86" s="3836"/>
      <c r="C86" s="3083" t="s">
        <v>2674</v>
      </c>
      <c r="D86" s="3083" t="s">
        <v>2675</v>
      </c>
      <c r="E86" s="3109">
        <v>0.1</v>
      </c>
      <c r="F86" s="3109">
        <v>15</v>
      </c>
    </row>
    <row r="87" spans="1:6" ht="13.5">
      <c r="A87" s="3109">
        <v>15</v>
      </c>
      <c r="B87" s="3836"/>
      <c r="C87" s="3083" t="s">
        <v>2676</v>
      </c>
      <c r="D87" s="3083" t="s">
        <v>2677</v>
      </c>
      <c r="E87" s="3109">
        <v>0.1</v>
      </c>
      <c r="F87" s="3109">
        <v>15</v>
      </c>
    </row>
    <row r="88" spans="1:6" ht="24">
      <c r="A88" s="3109">
        <v>16</v>
      </c>
      <c r="B88" s="3836"/>
      <c r="C88" s="3083" t="s">
        <v>2678</v>
      </c>
      <c r="D88" s="3083" t="s">
        <v>2679</v>
      </c>
      <c r="E88" s="3109">
        <v>0.1</v>
      </c>
      <c r="F88" s="3109">
        <v>15</v>
      </c>
    </row>
    <row r="89" spans="1:6" ht="24">
      <c r="A89" s="3109">
        <v>17</v>
      </c>
      <c r="B89" s="3845"/>
      <c r="C89" s="3083" t="s">
        <v>2680</v>
      </c>
      <c r="D89" s="3083" t="s">
        <v>2681</v>
      </c>
      <c r="E89" s="3109">
        <v>0.1</v>
      </c>
      <c r="F89" s="3109">
        <v>15</v>
      </c>
    </row>
    <row r="90" spans="1:6" ht="13.5">
      <c r="A90" s="3109">
        <v>18</v>
      </c>
      <c r="B90" s="3841" t="s">
        <v>2682</v>
      </c>
      <c r="C90" s="3083" t="s">
        <v>2683</v>
      </c>
      <c r="D90" s="3083" t="s">
        <v>2684</v>
      </c>
      <c r="E90" s="3109">
        <v>0.2</v>
      </c>
      <c r="F90" s="3109">
        <v>25</v>
      </c>
    </row>
    <row r="91" spans="1:6" ht="24">
      <c r="A91" s="3109">
        <v>19</v>
      </c>
      <c r="B91" s="3836"/>
      <c r="C91" s="3083" t="s">
        <v>2685</v>
      </c>
      <c r="D91" s="3083" t="s">
        <v>2686</v>
      </c>
      <c r="E91" s="3109">
        <v>0.2</v>
      </c>
      <c r="F91" s="3109">
        <v>25</v>
      </c>
    </row>
    <row r="92" spans="1:6" ht="13.5">
      <c r="A92" s="3109">
        <v>20</v>
      </c>
      <c r="B92" s="3836"/>
      <c r="C92" s="3083" t="s">
        <v>2687</v>
      </c>
      <c r="D92" s="3083" t="s">
        <v>2688</v>
      </c>
      <c r="E92" s="3109">
        <v>0.15</v>
      </c>
      <c r="F92" s="3109">
        <v>20</v>
      </c>
    </row>
    <row r="93" spans="1:6" ht="13.5">
      <c r="A93" s="3109">
        <v>21</v>
      </c>
      <c r="B93" s="3836"/>
      <c r="C93" s="3083" t="s">
        <v>2689</v>
      </c>
      <c r="D93" s="3083" t="s">
        <v>2690</v>
      </c>
      <c r="E93" s="3109">
        <v>0.15</v>
      </c>
      <c r="F93" s="3109">
        <v>20</v>
      </c>
    </row>
    <row r="94" spans="1:6" ht="13.5">
      <c r="A94" s="3109">
        <v>22</v>
      </c>
      <c r="B94" s="3836"/>
      <c r="C94" s="3083" t="s">
        <v>2691</v>
      </c>
      <c r="D94" s="3083" t="s">
        <v>2692</v>
      </c>
      <c r="E94" s="3109">
        <v>0.15</v>
      </c>
      <c r="F94" s="3109">
        <v>20</v>
      </c>
    </row>
    <row r="95" spans="1:6" ht="36">
      <c r="A95" s="3109">
        <v>23</v>
      </c>
      <c r="B95" s="3836"/>
      <c r="C95" s="3083" t="s">
        <v>2693</v>
      </c>
      <c r="D95" s="3083" t="s">
        <v>2694</v>
      </c>
      <c r="E95" s="3109">
        <v>0.15</v>
      </c>
      <c r="F95" s="3109">
        <v>20</v>
      </c>
    </row>
    <row r="96" spans="1:6" ht="13.5">
      <c r="A96" s="3109">
        <v>24</v>
      </c>
      <c r="B96" s="3836"/>
      <c r="C96" s="3083" t="s">
        <v>2695</v>
      </c>
      <c r="D96" s="3083" t="s">
        <v>2696</v>
      </c>
      <c r="E96" s="3109">
        <v>0.1</v>
      </c>
      <c r="F96" s="3109">
        <v>15</v>
      </c>
    </row>
    <row r="97" spans="1:6" ht="13.5">
      <c r="A97" s="3109">
        <v>25</v>
      </c>
      <c r="B97" s="3836"/>
      <c r="C97" s="3083" t="s">
        <v>2697</v>
      </c>
      <c r="D97" s="3083" t="s">
        <v>2698</v>
      </c>
      <c r="E97" s="3109">
        <v>0.1</v>
      </c>
      <c r="F97" s="3109">
        <v>15</v>
      </c>
    </row>
    <row r="98" spans="1:6" ht="24">
      <c r="A98" s="3109">
        <v>26</v>
      </c>
      <c r="B98" s="3836"/>
      <c r="C98" s="3083" t="s">
        <v>2699</v>
      </c>
      <c r="D98" s="3083" t="s">
        <v>2700</v>
      </c>
      <c r="E98" s="3109">
        <v>0.1</v>
      </c>
      <c r="F98" s="3109">
        <v>15</v>
      </c>
    </row>
    <row r="99" spans="1:6" ht="24">
      <c r="A99" s="3109">
        <v>27</v>
      </c>
      <c r="B99" s="3836"/>
      <c r="C99" s="3083" t="s">
        <v>2701</v>
      </c>
      <c r="D99" s="3083" t="s">
        <v>2702</v>
      </c>
      <c r="E99" s="3109">
        <v>0.1</v>
      </c>
      <c r="F99" s="3109">
        <v>15</v>
      </c>
    </row>
    <row r="100" spans="1:6" ht="13.5">
      <c r="A100" s="3109">
        <v>28</v>
      </c>
      <c r="B100" s="3836"/>
      <c r="C100" s="3083" t="s">
        <v>2703</v>
      </c>
      <c r="D100" s="3083" t="s">
        <v>2704</v>
      </c>
      <c r="E100" s="3109">
        <v>0.1</v>
      </c>
      <c r="F100" s="3109">
        <v>15</v>
      </c>
    </row>
    <row r="101" spans="1:6" ht="13.5">
      <c r="A101" s="3109">
        <v>29</v>
      </c>
      <c r="B101" s="3836"/>
      <c r="C101" s="3083" t="s">
        <v>2705</v>
      </c>
      <c r="D101" s="3083" t="s">
        <v>2706</v>
      </c>
      <c r="E101" s="3109">
        <v>0.1</v>
      </c>
      <c r="F101" s="3109">
        <v>15</v>
      </c>
    </row>
    <row r="102" spans="1:6" ht="13.5">
      <c r="A102" s="3109">
        <v>30</v>
      </c>
      <c r="B102" s="3836"/>
      <c r="C102" s="3083" t="s">
        <v>2707</v>
      </c>
      <c r="D102" s="3083" t="s">
        <v>2708</v>
      </c>
      <c r="E102" s="3109">
        <v>0.1</v>
      </c>
      <c r="F102" s="3109">
        <v>15</v>
      </c>
    </row>
    <row r="103" spans="1:6" ht="24">
      <c r="A103" s="3109">
        <v>31</v>
      </c>
      <c r="B103" s="3836"/>
      <c r="C103" s="3083" t="s">
        <v>2709</v>
      </c>
      <c r="D103" s="3083" t="s">
        <v>2710</v>
      </c>
      <c r="E103" s="3109">
        <v>0.1</v>
      </c>
      <c r="F103" s="3109">
        <v>15</v>
      </c>
    </row>
    <row r="104" spans="1:6" ht="24">
      <c r="A104" s="3109">
        <v>32</v>
      </c>
      <c r="B104" s="3836"/>
      <c r="C104" s="3083" t="s">
        <v>2711</v>
      </c>
      <c r="D104" s="3083" t="s">
        <v>2712</v>
      </c>
      <c r="E104" s="3109">
        <v>0.1</v>
      </c>
      <c r="F104" s="3109">
        <v>15</v>
      </c>
    </row>
    <row r="105" spans="1:6" ht="24">
      <c r="A105" s="3109">
        <v>33</v>
      </c>
      <c r="B105" s="3836"/>
      <c r="C105" s="3083" t="s">
        <v>2713</v>
      </c>
      <c r="D105" s="3083" t="s">
        <v>2714</v>
      </c>
      <c r="E105" s="3109">
        <v>0.1</v>
      </c>
      <c r="F105" s="3109">
        <v>15</v>
      </c>
    </row>
    <row r="106" spans="1:6" ht="24">
      <c r="A106" s="3109">
        <v>34</v>
      </c>
      <c r="B106" s="3845"/>
      <c r="C106" s="3083" t="s">
        <v>2715</v>
      </c>
      <c r="D106" s="3083" t="s">
        <v>2716</v>
      </c>
      <c r="E106" s="3109">
        <v>0.1</v>
      </c>
      <c r="F106" s="3109">
        <v>15</v>
      </c>
    </row>
    <row r="107" spans="1:6" ht="24">
      <c r="A107" s="3109">
        <v>35</v>
      </c>
      <c r="B107" s="3841" t="s">
        <v>2717</v>
      </c>
      <c r="C107" s="3109" t="s">
        <v>2718</v>
      </c>
      <c r="D107" s="3083" t="s">
        <v>2719</v>
      </c>
      <c r="E107" s="3109">
        <v>0.15</v>
      </c>
      <c r="F107" s="3109">
        <v>20</v>
      </c>
    </row>
    <row r="108" spans="1:6" ht="13.5">
      <c r="A108" s="3109">
        <v>36</v>
      </c>
      <c r="B108" s="3836"/>
      <c r="C108" s="3109" t="s">
        <v>2720</v>
      </c>
      <c r="D108" s="3083" t="s">
        <v>2721</v>
      </c>
      <c r="E108" s="3109">
        <v>0.15</v>
      </c>
      <c r="F108" s="3109">
        <v>20</v>
      </c>
    </row>
    <row r="109" spans="1:6" ht="13.5">
      <c r="A109" s="3109">
        <v>37</v>
      </c>
      <c r="B109" s="3836"/>
      <c r="C109" s="3109" t="s">
        <v>2722</v>
      </c>
      <c r="D109" s="3083" t="s">
        <v>2723</v>
      </c>
      <c r="E109" s="3109">
        <v>0.15</v>
      </c>
      <c r="F109" s="3109">
        <v>20</v>
      </c>
    </row>
    <row r="110" spans="1:6" ht="13.5">
      <c r="A110" s="3109">
        <v>38</v>
      </c>
      <c r="B110" s="3836"/>
      <c r="C110" s="3109" t="s">
        <v>2724</v>
      </c>
      <c r="D110" s="3083" t="s">
        <v>2725</v>
      </c>
      <c r="E110" s="3109">
        <v>0.1</v>
      </c>
      <c r="F110" s="3109">
        <v>15</v>
      </c>
    </row>
    <row r="111" spans="1:6" ht="24">
      <c r="A111" s="3109">
        <v>39</v>
      </c>
      <c r="B111" s="3836"/>
      <c r="C111" s="3109" t="s">
        <v>2726</v>
      </c>
      <c r="D111" s="3083" t="s">
        <v>2727</v>
      </c>
      <c r="E111" s="3109">
        <v>0.1</v>
      </c>
      <c r="F111" s="3109">
        <v>15</v>
      </c>
    </row>
    <row r="112" spans="1:6" ht="24">
      <c r="A112" s="3109">
        <v>40</v>
      </c>
      <c r="B112" s="3845"/>
      <c r="C112" s="3109" t="s">
        <v>2728</v>
      </c>
      <c r="D112" s="3083" t="s">
        <v>2729</v>
      </c>
      <c r="E112" s="3109">
        <v>0.1</v>
      </c>
      <c r="F112" s="3109">
        <v>15</v>
      </c>
    </row>
    <row r="113" spans="1:6" ht="13.5">
      <c r="A113" s="3109">
        <v>41</v>
      </c>
      <c r="B113" s="3846" t="s">
        <v>2730</v>
      </c>
      <c r="C113" s="3109" t="s">
        <v>2731</v>
      </c>
      <c r="D113" s="3083" t="s">
        <v>2732</v>
      </c>
      <c r="E113" s="3109">
        <v>0.1</v>
      </c>
      <c r="F113" s="3109">
        <v>15</v>
      </c>
    </row>
    <row r="114" spans="1:6" ht="13.5">
      <c r="A114" s="3109">
        <v>42</v>
      </c>
      <c r="B114" s="3846"/>
      <c r="C114" s="3109" t="s">
        <v>2733</v>
      </c>
      <c r="D114" s="3083" t="s">
        <v>2734</v>
      </c>
      <c r="E114" s="3109">
        <v>0.1</v>
      </c>
      <c r="F114" s="3109">
        <v>15</v>
      </c>
    </row>
    <row r="115" spans="1:6" ht="24">
      <c r="A115" s="3109">
        <v>43</v>
      </c>
      <c r="B115" s="3846"/>
      <c r="C115" s="3109" t="s">
        <v>2735</v>
      </c>
      <c r="D115" s="3083" t="s">
        <v>2736</v>
      </c>
      <c r="E115" s="3109">
        <v>0.1</v>
      </c>
      <c r="F115" s="3109">
        <v>15</v>
      </c>
    </row>
    <row r="116" spans="1:6" ht="13.5">
      <c r="A116" s="3109">
        <v>44</v>
      </c>
      <c r="B116" s="3841" t="s">
        <v>2737</v>
      </c>
      <c r="C116" s="3109" t="s">
        <v>2738</v>
      </c>
      <c r="D116" s="3083" t="s">
        <v>2739</v>
      </c>
      <c r="E116" s="3109">
        <v>0.1</v>
      </c>
      <c r="F116" s="3109">
        <v>15</v>
      </c>
    </row>
    <row r="117" spans="1:6" ht="24">
      <c r="A117" s="3109">
        <v>45</v>
      </c>
      <c r="B117" s="3845"/>
      <c r="C117" s="3083" t="s">
        <v>2740</v>
      </c>
      <c r="D117" s="3083" t="s">
        <v>2741</v>
      </c>
      <c r="E117" s="3109">
        <v>0.1</v>
      </c>
      <c r="F117" s="3109">
        <v>15</v>
      </c>
    </row>
    <row r="118" spans="1:6" ht="24">
      <c r="A118" s="3109">
        <v>46</v>
      </c>
      <c r="B118" s="3841" t="s">
        <v>2742</v>
      </c>
      <c r="C118" s="3109" t="s">
        <v>2743</v>
      </c>
      <c r="D118" s="3083" t="s">
        <v>2744</v>
      </c>
      <c r="E118" s="3109">
        <v>0.1</v>
      </c>
      <c r="F118" s="3109">
        <v>15</v>
      </c>
    </row>
    <row r="119" spans="1:6" ht="24">
      <c r="A119" s="3109">
        <v>47</v>
      </c>
      <c r="B119" s="3845"/>
      <c r="C119" s="3109" t="s">
        <v>2745</v>
      </c>
      <c r="D119" s="3083" t="s">
        <v>2746</v>
      </c>
      <c r="E119" s="3109">
        <v>0.1</v>
      </c>
      <c r="F119" s="3109">
        <v>15</v>
      </c>
    </row>
    <row r="120" spans="1:6" ht="13.5">
      <c r="A120" s="3109">
        <v>48</v>
      </c>
      <c r="B120" s="3841" t="s">
        <v>2747</v>
      </c>
      <c r="C120" s="3109" t="s">
        <v>2748</v>
      </c>
      <c r="D120" s="3083" t="s">
        <v>2749</v>
      </c>
      <c r="E120" s="3109">
        <v>0.1</v>
      </c>
      <c r="F120" s="3109">
        <v>15</v>
      </c>
    </row>
    <row r="121" spans="1:6" ht="13.5">
      <c r="A121" s="3109">
        <v>49</v>
      </c>
      <c r="B121" s="3845"/>
      <c r="C121" s="3109" t="s">
        <v>2750</v>
      </c>
      <c r="D121" s="3083" t="s">
        <v>2751</v>
      </c>
      <c r="E121" s="3109">
        <v>0.1</v>
      </c>
      <c r="F121" s="3109">
        <v>15</v>
      </c>
    </row>
    <row r="122" spans="1:6" ht="24">
      <c r="A122" s="3109">
        <v>50</v>
      </c>
      <c r="B122" s="3846" t="s">
        <v>2752</v>
      </c>
      <c r="C122" s="3109" t="s">
        <v>2753</v>
      </c>
      <c r="D122" s="3083" t="s">
        <v>2754</v>
      </c>
      <c r="E122" s="3109">
        <v>0.1</v>
      </c>
      <c r="F122" s="3109">
        <v>15</v>
      </c>
    </row>
    <row r="123" spans="1:6" ht="24">
      <c r="A123" s="3109">
        <v>51</v>
      </c>
      <c r="B123" s="3846"/>
      <c r="C123" s="3109" t="s">
        <v>2755</v>
      </c>
      <c r="D123" s="3083" t="s">
        <v>2756</v>
      </c>
      <c r="E123" s="3109">
        <v>0.1</v>
      </c>
      <c r="F123" s="3109">
        <v>15</v>
      </c>
    </row>
    <row r="124" spans="1:6" ht="24">
      <c r="A124" s="3109">
        <v>52</v>
      </c>
      <c r="B124" s="3846" t="s">
        <v>2757</v>
      </c>
      <c r="C124" s="3109" t="s">
        <v>2758</v>
      </c>
      <c r="D124" s="3083" t="s">
        <v>2759</v>
      </c>
      <c r="E124" s="3109">
        <v>0.1</v>
      </c>
      <c r="F124" s="3109">
        <v>15</v>
      </c>
    </row>
    <row r="125" spans="1:6" ht="24">
      <c r="A125" s="3109">
        <v>53</v>
      </c>
      <c r="B125" s="3846"/>
      <c r="C125" s="3109" t="s">
        <v>2760</v>
      </c>
      <c r="D125" s="3083" t="s">
        <v>2761</v>
      </c>
      <c r="E125" s="3109">
        <v>0.1</v>
      </c>
      <c r="F125" s="3109">
        <v>15</v>
      </c>
    </row>
    <row r="126" spans="1:6" ht="13.5">
      <c r="A126" s="3109">
        <v>54</v>
      </c>
      <c r="B126" s="3109" t="s">
        <v>2762</v>
      </c>
      <c r="C126" s="3109" t="s">
        <v>2763</v>
      </c>
      <c r="D126" s="3083" t="s">
        <v>2764</v>
      </c>
      <c r="E126" s="3109">
        <v>0.1</v>
      </c>
      <c r="F126" s="3109">
        <v>15</v>
      </c>
    </row>
    <row r="127" spans="1:6" ht="13.5">
      <c r="A127" s="3109">
        <v>55</v>
      </c>
      <c r="B127" s="3846" t="s">
        <v>2765</v>
      </c>
      <c r="C127" s="3109" t="s">
        <v>2766</v>
      </c>
      <c r="D127" s="3083" t="s">
        <v>2767</v>
      </c>
      <c r="E127" s="3109">
        <v>0.1</v>
      </c>
      <c r="F127" s="3109">
        <v>15</v>
      </c>
    </row>
    <row r="128" spans="1:6" ht="13.5">
      <c r="A128" s="3109">
        <v>56</v>
      </c>
      <c r="B128" s="3846"/>
      <c r="C128" s="3109" t="s">
        <v>2768</v>
      </c>
      <c r="D128" s="3083" t="s">
        <v>2769</v>
      </c>
      <c r="E128" s="3109">
        <v>0.1</v>
      </c>
      <c r="F128" s="3109">
        <v>15</v>
      </c>
    </row>
    <row r="129" spans="1:6" ht="24">
      <c r="A129" s="3109">
        <v>57</v>
      </c>
      <c r="B129" s="3846"/>
      <c r="C129" s="3109" t="s">
        <v>2770</v>
      </c>
      <c r="D129" s="3083" t="s">
        <v>2771</v>
      </c>
      <c r="E129" s="3109">
        <v>0.1</v>
      </c>
      <c r="F129" s="3109">
        <v>15</v>
      </c>
    </row>
    <row r="130" spans="1:6" ht="24">
      <c r="A130" s="3109">
        <v>58</v>
      </c>
      <c r="B130" s="3846" t="s">
        <v>2772</v>
      </c>
      <c r="C130" s="3109" t="s">
        <v>2773</v>
      </c>
      <c r="D130" s="3083" t="s">
        <v>2774</v>
      </c>
      <c r="E130" s="3109">
        <v>0.1</v>
      </c>
      <c r="F130" s="3109">
        <v>15</v>
      </c>
    </row>
    <row r="131" spans="1:6" ht="13.5">
      <c r="A131" s="3109">
        <v>59</v>
      </c>
      <c r="B131" s="3846"/>
      <c r="C131" s="3109" t="s">
        <v>2775</v>
      </c>
      <c r="D131" s="3083" t="s">
        <v>2776</v>
      </c>
      <c r="E131" s="3109">
        <v>0.1</v>
      </c>
      <c r="F131" s="3109">
        <v>15</v>
      </c>
    </row>
    <row r="132" spans="1:6" ht="13.5">
      <c r="A132" s="3109">
        <v>60</v>
      </c>
      <c r="B132" s="3841" t="s">
        <v>2777</v>
      </c>
      <c r="C132" s="3109" t="s">
        <v>2778</v>
      </c>
      <c r="D132" s="3083" t="s">
        <v>2779</v>
      </c>
      <c r="E132" s="3109">
        <v>0.1</v>
      </c>
      <c r="F132" s="3109">
        <v>15</v>
      </c>
    </row>
    <row r="133" spans="1:6" ht="13.5">
      <c r="A133" s="3109">
        <v>61</v>
      </c>
      <c r="B133" s="3845"/>
      <c r="C133" s="3109" t="s">
        <v>2780</v>
      </c>
      <c r="D133" s="3083" t="s">
        <v>2781</v>
      </c>
      <c r="E133" s="3109">
        <v>0.1</v>
      </c>
      <c r="F133" s="3109">
        <v>15</v>
      </c>
    </row>
    <row r="134" spans="1:6" ht="24">
      <c r="A134" s="3109">
        <v>62</v>
      </c>
      <c r="B134" s="3109" t="s">
        <v>2782</v>
      </c>
      <c r="C134" s="3109" t="s">
        <v>2783</v>
      </c>
      <c r="D134" s="3083" t="s">
        <v>2784</v>
      </c>
      <c r="E134" s="3109">
        <v>0.1</v>
      </c>
      <c r="F134" s="3109">
        <v>15</v>
      </c>
    </row>
    <row r="135" spans="1:6" ht="13.5">
      <c r="A135" s="3109">
        <v>63</v>
      </c>
      <c r="B135" s="3846" t="s">
        <v>2785</v>
      </c>
      <c r="C135" s="3109" t="s">
        <v>2786</v>
      </c>
      <c r="D135" s="3083" t="s">
        <v>2787</v>
      </c>
      <c r="E135" s="3109">
        <v>0.1</v>
      </c>
      <c r="F135" s="3109">
        <v>15</v>
      </c>
    </row>
    <row r="136" spans="1:6" ht="13.5">
      <c r="A136" s="3109">
        <v>64</v>
      </c>
      <c r="B136" s="3846"/>
      <c r="C136" s="3109" t="s">
        <v>2788</v>
      </c>
      <c r="D136" s="3083" t="s">
        <v>2789</v>
      </c>
      <c r="E136" s="3109">
        <v>0.1</v>
      </c>
      <c r="F136" s="3109">
        <v>15</v>
      </c>
    </row>
    <row r="137" spans="1:6" ht="13.5">
      <c r="A137" s="3109">
        <v>65</v>
      </c>
      <c r="B137" s="3109" t="s">
        <v>2790</v>
      </c>
      <c r="C137" s="3109" t="s">
        <v>2791</v>
      </c>
      <c r="D137" s="3083" t="s">
        <v>2792</v>
      </c>
      <c r="E137" s="3109">
        <v>0.1</v>
      </c>
      <c r="F137" s="3109">
        <v>15</v>
      </c>
    </row>
    <row r="138" spans="1:6" ht="13.5">
      <c r="A138" s="3109"/>
      <c r="B138" s="3109"/>
      <c r="C138" s="3109"/>
      <c r="D138" s="3109"/>
      <c r="E138" s="3109" t="s">
        <v>2793</v>
      </c>
      <c r="F138" s="3109"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50"/>
  </cols>
  <sheetData>
    <row r="1" spans="1:20" ht="15" thickBot="1">
      <c r="A1" s="3118" t="s">
        <v>2794</v>
      </c>
      <c r="B1" s="3118"/>
      <c r="C1" s="3118"/>
      <c r="D1" s="3118"/>
      <c r="E1" s="3118"/>
      <c r="F1" s="3118"/>
      <c r="G1" s="3118"/>
      <c r="H1" s="3118"/>
      <c r="I1" s="3118"/>
      <c r="J1" s="3118"/>
      <c r="K1" s="3118"/>
      <c r="L1" s="3118"/>
      <c r="M1" s="3118"/>
      <c r="N1" s="749"/>
    </row>
    <row r="2" spans="1:20">
      <c r="A2" s="3119" t="s">
        <v>2795</v>
      </c>
      <c r="B2" s="3120" t="s">
        <v>2591</v>
      </c>
      <c r="C2" s="3120" t="s">
        <v>2592</v>
      </c>
      <c r="D2" s="3120" t="s">
        <v>2593</v>
      </c>
      <c r="E2" s="3120" t="s">
        <v>2594</v>
      </c>
      <c r="F2" s="3120" t="s">
        <v>2595</v>
      </c>
      <c r="G2" s="3120" t="s">
        <v>2596</v>
      </c>
      <c r="H2" s="3121" t="s">
        <v>2597</v>
      </c>
      <c r="I2" s="3121" t="s">
        <v>2598</v>
      </c>
      <c r="J2" s="3122" t="s">
        <v>2599</v>
      </c>
      <c r="K2" s="3122" t="s">
        <v>2600</v>
      </c>
      <c r="L2" s="3122" t="s">
        <v>2601</v>
      </c>
      <c r="M2" s="3123" t="s">
        <v>2602</v>
      </c>
      <c r="Q2" s="3133" t="s">
        <v>2800</v>
      </c>
      <c r="R2" s="3133" t="s">
        <v>2801</v>
      </c>
      <c r="S2" s="3133" t="s">
        <v>2802</v>
      </c>
      <c r="T2" s="3133" t="s">
        <v>2803</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51"/>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51"/>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51"/>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2796</v>
      </c>
      <c r="B93" s="3118"/>
      <c r="C93" s="3118"/>
      <c r="D93" s="3118"/>
      <c r="E93" s="3118"/>
      <c r="F93" s="3118"/>
      <c r="G93" s="3118"/>
      <c r="H93" s="3118"/>
      <c r="I93" s="3118"/>
      <c r="J93" s="3118"/>
      <c r="K93" s="3118"/>
      <c r="L93" s="3118"/>
      <c r="M93" s="3118"/>
    </row>
    <row r="94" spans="1:20">
      <c r="A94" s="3119" t="s">
        <v>2795</v>
      </c>
      <c r="B94" s="3120" t="s">
        <v>2591</v>
      </c>
      <c r="C94" s="3120" t="s">
        <v>2592</v>
      </c>
      <c r="D94" s="3120" t="s">
        <v>2593</v>
      </c>
      <c r="E94" s="3120" t="s">
        <v>2594</v>
      </c>
      <c r="F94" s="3120" t="s">
        <v>2595</v>
      </c>
      <c r="G94" s="3120" t="s">
        <v>2596</v>
      </c>
      <c r="H94" s="3121" t="s">
        <v>2597</v>
      </c>
      <c r="I94" s="3121" t="s">
        <v>2598</v>
      </c>
      <c r="J94" s="3122" t="s">
        <v>2599</v>
      </c>
      <c r="K94" s="3122" t="s">
        <v>2600</v>
      </c>
      <c r="L94" s="3122" t="s">
        <v>2601</v>
      </c>
      <c r="M94" s="3123" t="s">
        <v>2602</v>
      </c>
      <c r="N94" s="750">
        <f>SUMPRODUCT((A95:A184=ROUNDDOWN(基准地价修正!G3,1))*(B94:M94=基准地价修正!G2)*(B95:M184))</f>
        <v>0</v>
      </c>
      <c r="Q94" s="3133" t="s">
        <v>2800</v>
      </c>
      <c r="R94" s="3133" t="s">
        <v>2801</v>
      </c>
      <c r="S94" s="3133" t="s">
        <v>2802</v>
      </c>
      <c r="T94" s="3133" t="s">
        <v>2803</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9"/>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9"/>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2797</v>
      </c>
      <c r="B185" s="3118"/>
      <c r="C185" s="3118"/>
      <c r="D185" s="3118"/>
      <c r="E185" s="3118"/>
      <c r="F185" s="3118"/>
      <c r="G185" s="3118"/>
      <c r="H185" s="3118"/>
      <c r="I185" s="3118"/>
      <c r="J185" s="3118"/>
      <c r="K185" s="3118"/>
      <c r="L185" s="3118"/>
      <c r="M185" s="3118"/>
    </row>
    <row r="186" spans="1:20">
      <c r="A186" s="3119" t="s">
        <v>2795</v>
      </c>
      <c r="B186" s="3120" t="s">
        <v>2591</v>
      </c>
      <c r="C186" s="3120" t="s">
        <v>2592</v>
      </c>
      <c r="D186" s="3120" t="s">
        <v>2593</v>
      </c>
      <c r="E186" s="3120" t="s">
        <v>2594</v>
      </c>
      <c r="F186" s="3120" t="s">
        <v>2595</v>
      </c>
      <c r="G186" s="3120" t="s">
        <v>2596</v>
      </c>
      <c r="H186" s="3121" t="s">
        <v>2597</v>
      </c>
      <c r="I186" s="3121" t="s">
        <v>2598</v>
      </c>
      <c r="J186" s="3122" t="s">
        <v>2599</v>
      </c>
      <c r="K186" s="3122" t="s">
        <v>2600</v>
      </c>
      <c r="L186" s="3122" t="s">
        <v>2601</v>
      </c>
      <c r="M186" s="3123" t="s">
        <v>2602</v>
      </c>
      <c r="Q186" s="3133" t="s">
        <v>2800</v>
      </c>
      <c r="R186" s="3133" t="s">
        <v>2801</v>
      </c>
      <c r="S186" s="3133" t="s">
        <v>2802</v>
      </c>
      <c r="T186" s="3133" t="s">
        <v>2803</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2798</v>
      </c>
      <c r="B277" s="3118"/>
      <c r="C277" s="3118"/>
      <c r="D277" s="3118"/>
      <c r="E277" s="3118"/>
      <c r="F277" s="3118"/>
      <c r="G277" s="3118"/>
      <c r="H277" s="3118"/>
      <c r="I277" s="3118"/>
      <c r="J277" s="3118"/>
      <c r="K277" s="3118"/>
      <c r="L277" s="3118"/>
      <c r="M277" s="3118"/>
    </row>
    <row r="278" spans="1:21">
      <c r="A278" s="3119" t="s">
        <v>2795</v>
      </c>
      <c r="B278" s="3120" t="s">
        <v>2591</v>
      </c>
      <c r="C278" s="3120" t="s">
        <v>2592</v>
      </c>
      <c r="D278" s="3120" t="s">
        <v>2593</v>
      </c>
      <c r="E278" s="3120" t="s">
        <v>2594</v>
      </c>
      <c r="F278" s="3120" t="s">
        <v>2595</v>
      </c>
      <c r="G278" s="3120" t="s">
        <v>2596</v>
      </c>
      <c r="H278" s="3121" t="s">
        <v>2597</v>
      </c>
      <c r="I278" s="3121" t="s">
        <v>2598</v>
      </c>
      <c r="J278" s="3122" t="s">
        <v>2599</v>
      </c>
      <c r="K278" s="3122" t="s">
        <v>2600</v>
      </c>
      <c r="L278" s="3122" t="s">
        <v>2601</v>
      </c>
      <c r="M278" s="3123" t="s">
        <v>2602</v>
      </c>
      <c r="Q278" s="3133" t="s">
        <v>2800</v>
      </c>
      <c r="R278" s="3133" t="s">
        <v>2801</v>
      </c>
      <c r="S278" s="3133" t="s">
        <v>2804</v>
      </c>
      <c r="T278" s="3133" t="s">
        <v>2805</v>
      </c>
      <c r="U278" s="3133" t="s">
        <v>2803</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2799</v>
      </c>
      <c r="B369" s="3131"/>
      <c r="C369" s="3131"/>
      <c r="D369" s="3131"/>
      <c r="E369" s="3131"/>
      <c r="F369" s="3131"/>
      <c r="G369" s="3131"/>
      <c r="H369" s="3131"/>
      <c r="I369" s="3131"/>
      <c r="J369" s="3131"/>
      <c r="K369" s="3131"/>
      <c r="L369" s="3131"/>
      <c r="M369" s="3131"/>
    </row>
    <row r="370" spans="1:20">
      <c r="A370" s="3119" t="s">
        <v>2795</v>
      </c>
      <c r="B370" s="3120" t="s">
        <v>2591</v>
      </c>
      <c r="C370" s="3120" t="s">
        <v>2592</v>
      </c>
      <c r="D370" s="3120" t="s">
        <v>2593</v>
      </c>
      <c r="E370" s="3120" t="s">
        <v>2594</v>
      </c>
      <c r="F370" s="3120" t="s">
        <v>2595</v>
      </c>
      <c r="G370" s="3120" t="s">
        <v>2596</v>
      </c>
      <c r="H370" s="3121" t="s">
        <v>2597</v>
      </c>
      <c r="I370" s="3121" t="s">
        <v>2598</v>
      </c>
      <c r="J370" s="3122" t="s">
        <v>2599</v>
      </c>
      <c r="K370" s="3122" t="s">
        <v>2600</v>
      </c>
      <c r="L370" s="3122" t="s">
        <v>2601</v>
      </c>
      <c r="M370" s="3123" t="s">
        <v>2602</v>
      </c>
      <c r="N370" s="750">
        <f>SUMPRODUCT((A371:A460=ROUNDDOWN(基准地价修正!G3,1))*(B370:M370=基准地价修正!G2)*(B371:M460))</f>
        <v>0</v>
      </c>
      <c r="Q370" s="3133" t="s">
        <v>2800</v>
      </c>
      <c r="R370" s="3133" t="s">
        <v>2801</v>
      </c>
      <c r="S370" s="3133" t="s">
        <v>2802</v>
      </c>
      <c r="T370" s="3133" t="s">
        <v>2803</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72221</v>
      </c>
      <c r="C2" s="2" t="s">
        <v>106</v>
      </c>
      <c r="D2" s="199"/>
      <c r="E2" s="199"/>
      <c r="F2" s="199"/>
      <c r="G2" s="199"/>
    </row>
    <row r="3" spans="1:7" s="200" customFormat="1" ht="18" customHeight="1" thickBot="1">
      <c r="A3" s="203" t="s">
        <v>58</v>
      </c>
      <c r="B3" s="204">
        <f ca="1">ROUND(B2*10000/'数据-汇总表'!E3,0)</f>
        <v>4651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1607</v>
      </c>
      <c r="D9" s="845">
        <f>'数据-汇总表'!E5</f>
        <v>107119.92</v>
      </c>
      <c r="E9" s="225">
        <f>'数据-取费表'!B27</f>
        <v>150</v>
      </c>
      <c r="F9" s="221"/>
      <c r="G9" s="226"/>
    </row>
    <row r="10" spans="1:7" s="214" customFormat="1" ht="13.5" customHeight="1">
      <c r="A10" s="779" t="s">
        <v>356</v>
      </c>
      <c r="B10" s="224" t="s">
        <v>67</v>
      </c>
      <c r="C10" s="225">
        <f>ROUND(D10*E10/10000,0)</f>
        <v>915</v>
      </c>
      <c r="D10" s="845">
        <f>'数据-汇总表'!E6</f>
        <v>48148.58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3105</v>
      </c>
      <c r="D19" s="849">
        <f>'数据-汇总表'!E3</f>
        <v>155268.5</v>
      </c>
      <c r="E19" s="211">
        <f>'数据-取费表'!B31</f>
        <v>200</v>
      </c>
      <c r="F19" s="231"/>
      <c r="G19" s="1" t="s">
        <v>436</v>
      </c>
    </row>
    <row r="20" spans="1:7" s="214" customFormat="1" ht="13.5" customHeight="1">
      <c r="A20" s="777" t="s">
        <v>419</v>
      </c>
      <c r="B20" s="210" t="s">
        <v>77</v>
      </c>
      <c r="C20" s="232">
        <f>ROUND((C5+C19)*F20,0)</f>
        <v>474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1024</v>
      </c>
      <c r="D22" s="235">
        <f ca="1">C26</f>
        <v>4.0000000000000002E-4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881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1742</v>
      </c>
      <c r="D27" s="235">
        <f>C29</f>
        <v>1.4E-3</v>
      </c>
      <c r="E27" s="236" t="s">
        <v>99</v>
      </c>
      <c r="F27" s="246">
        <f>'数据-取费表'!Q16</f>
        <v>0.12</v>
      </c>
      <c r="G27" s="247" t="s">
        <v>431</v>
      </c>
    </row>
    <row r="28" spans="1:7" s="214" customFormat="1" ht="13.5" customHeight="1">
      <c r="A28" s="780" t="s">
        <v>349</v>
      </c>
      <c r="B28" s="248" t="s">
        <v>424</v>
      </c>
      <c r="C28" s="249">
        <f>ROUND((C5+C19+C20)*F27*'数据-取费表'!B21/'数据-取费表'!B20,0)</f>
        <v>1742</v>
      </c>
      <c r="D28" s="235"/>
      <c r="E28" s="236"/>
      <c r="F28" s="246"/>
      <c r="G28" s="247"/>
    </row>
    <row r="29" spans="1:7" s="214" customFormat="1" ht="13.5" customHeight="1">
      <c r="A29" s="780" t="s">
        <v>347</v>
      </c>
      <c r="B29" s="248" t="s">
        <v>425</v>
      </c>
      <c r="C29" s="238">
        <f>ROUND(C21*F27*'数据-取费表'!B21/'数据-取费表'!B20,4)</f>
        <v>1.4E-3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29115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34250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30248</v>
      </c>
      <c r="D34" s="217"/>
      <c r="E34" s="220"/>
      <c r="F34" s="257">
        <f>IF('数据-取费表'!B24=0,1,'数据-取费表'!N16)</f>
        <v>0.56200000000000006</v>
      </c>
      <c r="G34" s="219" t="s">
        <v>89</v>
      </c>
    </row>
    <row r="35" spans="1:7" ht="13.5" customHeight="1">
      <c r="A35" s="780" t="s">
        <v>351</v>
      </c>
      <c r="B35" s="215" t="s">
        <v>33</v>
      </c>
      <c r="C35" s="220">
        <f>ROUND(C34*F35,0)</f>
        <v>907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896</v>
      </c>
      <c r="D36" s="220"/>
      <c r="E36" s="220"/>
      <c r="F36" s="259">
        <f>'数据-取费表'!B34</f>
        <v>0.04</v>
      </c>
      <c r="G36" s="260" t="s">
        <v>35</v>
      </c>
    </row>
    <row r="37" spans="1:7" s="258" customFormat="1" ht="13.5" customHeight="1">
      <c r="A37" s="780" t="s">
        <v>353</v>
      </c>
      <c r="B37" s="215" t="s">
        <v>91</v>
      </c>
      <c r="C37" s="249">
        <f>ROUND(E37*D37*F34/10000,0)</f>
        <v>1745</v>
      </c>
      <c r="D37" s="217">
        <f>'数据-汇总表'!E3</f>
        <v>155268.5</v>
      </c>
      <c r="E37" s="249">
        <f>'数据-取费表'!B35</f>
        <v>200</v>
      </c>
      <c r="F37" s="259"/>
      <c r="G37" s="261" t="s">
        <v>92</v>
      </c>
    </row>
    <row r="38" spans="1:7" ht="13.5" customHeight="1">
      <c r="A38" s="780" t="s">
        <v>354</v>
      </c>
      <c r="B38" s="215" t="s">
        <v>36</v>
      </c>
      <c r="C38" s="220">
        <f>ROUND(C34*F38,0)</f>
        <v>454</v>
      </c>
      <c r="D38" s="220"/>
      <c r="E38" s="220"/>
      <c r="F38" s="259">
        <f>'数据-取费表'!B36</f>
        <v>1.4999999999999999E-2</v>
      </c>
      <c r="G38" s="219" t="s">
        <v>90</v>
      </c>
    </row>
    <row r="39" spans="1:7" s="214" customFormat="1" ht="13.5" customHeight="1">
      <c r="A39" s="777" t="s">
        <v>338</v>
      </c>
      <c r="B39" s="210" t="s">
        <v>77</v>
      </c>
      <c r="C39" s="232">
        <f>ROUND(C33*F20,0)</f>
        <v>685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738</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724</v>
      </c>
      <c r="D42" s="238"/>
      <c r="E42" s="238"/>
      <c r="F42" s="239"/>
      <c r="G42" s="3753" t="s">
        <v>94</v>
      </c>
    </row>
    <row r="43" spans="1:7" ht="13.5" customHeight="1">
      <c r="A43" s="780" t="s">
        <v>347</v>
      </c>
      <c r="B43" s="215" t="s">
        <v>426</v>
      </c>
      <c r="C43" s="238">
        <f ca="1">ROUND(IF('数据-取费表'!B22&lt;=1,C39*F22*'数据-取费表'!B21/2,C39*(POWER((1+F22),'数据-取费表'!B21/2)-1)),0)</f>
        <v>14</v>
      </c>
      <c r="D43" s="238"/>
      <c r="E43" s="238"/>
      <c r="F43" s="239"/>
      <c r="G43" s="3754"/>
    </row>
    <row r="44" spans="1:7" ht="13.5" customHeight="1">
      <c r="A44" s="780" t="s">
        <v>348</v>
      </c>
      <c r="B44" s="215" t="s">
        <v>428</v>
      </c>
      <c r="C44" s="238">
        <f ca="1">ROUND(IF('数据-取费表'!B22&lt;=1,C40*F22*'数据-取费表'!B21/2,C40*(POWER((1+F22),'数据-取费表'!B21/2)-1)),4)</f>
        <v>4.0000000000000002E-4</v>
      </c>
      <c r="D44" s="238"/>
      <c r="E44" s="238"/>
      <c r="F44" s="239"/>
      <c r="G44" s="3755"/>
    </row>
    <row r="45" spans="1:7" s="214" customFormat="1" ht="13.5" customHeight="1">
      <c r="A45" s="777" t="s">
        <v>341</v>
      </c>
      <c r="B45" s="244" t="s">
        <v>85</v>
      </c>
      <c r="C45" s="245">
        <f>C46</f>
        <v>4192</v>
      </c>
      <c r="D45" s="235">
        <f>C47</f>
        <v>2.3999999999999998E-3</v>
      </c>
      <c r="E45" s="236" t="s">
        <v>102</v>
      </c>
      <c r="F45" s="246"/>
      <c r="G45" s="247" t="s">
        <v>434</v>
      </c>
    </row>
    <row r="46" spans="1:7" s="214" customFormat="1" ht="13.5" customHeight="1">
      <c r="A46" s="780" t="s">
        <v>349</v>
      </c>
      <c r="B46" s="248" t="s">
        <v>427</v>
      </c>
      <c r="C46" s="249">
        <f>ROUND((C33+C39)*F27,0)</f>
        <v>4192</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43106</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43106</v>
      </c>
      <c r="D51" s="232"/>
      <c r="E51" s="232"/>
      <c r="F51" s="264"/>
      <c r="G51" s="234" t="s">
        <v>37</v>
      </c>
    </row>
    <row r="52" spans="1:7" s="208" customFormat="1" ht="16.5" thickBot="1">
      <c r="A52" s="265" t="s">
        <v>38</v>
      </c>
      <c r="B52" s="266"/>
      <c r="C52" s="267">
        <f ca="1">C31+C51</f>
        <v>72221</v>
      </c>
      <c r="D52" s="266"/>
      <c r="E52" s="266"/>
      <c r="F52" s="266"/>
      <c r="G52" s="268"/>
    </row>
    <row r="55" spans="1:7" ht="15">
      <c r="B55" s="270" t="s">
        <v>39</v>
      </c>
      <c r="C55" s="271"/>
    </row>
    <row r="56" spans="1:7">
      <c r="B56" s="273" t="s">
        <v>40</v>
      </c>
      <c r="C56" s="274">
        <f ca="1">ROUND(C51/C52,3)</f>
        <v>0.59699999999999998</v>
      </c>
    </row>
    <row r="57" spans="1:7">
      <c r="B57" s="273" t="s">
        <v>41</v>
      </c>
      <c r="C57" s="275">
        <f ca="1">1-C56</f>
        <v>0.40300000000000002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49" t="s">
        <v>2837</v>
      </c>
      <c r="B1" s="3849"/>
      <c r="C1" s="3849"/>
      <c r="D1" s="3849"/>
      <c r="E1" s="3849"/>
      <c r="F1" s="3849"/>
      <c r="G1" s="3850"/>
      <c r="I1" s="3214" t="s">
        <v>2838</v>
      </c>
      <c r="J1" s="3215" t="s">
        <v>2839</v>
      </c>
      <c r="K1" s="3215" t="s">
        <v>2840</v>
      </c>
      <c r="L1" s="3215" t="s">
        <v>2841</v>
      </c>
      <c r="M1" s="3215" t="s">
        <v>2842</v>
      </c>
      <c r="N1" s="3215" t="s">
        <v>2843</v>
      </c>
      <c r="O1" s="3215" t="s">
        <v>2844</v>
      </c>
      <c r="P1" s="3215" t="s">
        <v>2845</v>
      </c>
      <c r="Q1" s="3215" t="s">
        <v>2846</v>
      </c>
      <c r="R1" s="3215" t="s">
        <v>2847</v>
      </c>
      <c r="S1" s="3215" t="s">
        <v>2848</v>
      </c>
      <c r="T1" s="3216" t="s">
        <v>2849</v>
      </c>
    </row>
    <row r="2" spans="1:20" ht="12" thickBot="1">
      <c r="A2" s="3218" t="s">
        <v>2850</v>
      </c>
      <c r="B2" s="3218"/>
      <c r="C2" s="3218"/>
      <c r="D2" s="3218"/>
      <c r="E2" s="3218"/>
      <c r="F2" s="3218"/>
      <c r="G2" s="3219" t="s">
        <v>2851</v>
      </c>
      <c r="I2" s="3220" t="s">
        <v>2852</v>
      </c>
      <c r="J2" s="3220" t="s">
        <v>2853</v>
      </c>
      <c r="K2" s="3220" t="s">
        <v>2854</v>
      </c>
      <c r="L2" s="3220" t="s">
        <v>2855</v>
      </c>
      <c r="M2" s="3220" t="s">
        <v>2856</v>
      </c>
      <c r="N2" s="3220" t="s">
        <v>2857</v>
      </c>
      <c r="O2" s="3220" t="s">
        <v>2858</v>
      </c>
      <c r="P2" s="3220" t="s">
        <v>2859</v>
      </c>
      <c r="Q2" s="3220" t="s">
        <v>2860</v>
      </c>
      <c r="R2" s="3220" t="s">
        <v>2861</v>
      </c>
      <c r="S2" s="3220" t="s">
        <v>2862</v>
      </c>
      <c r="T2" s="3220" t="s">
        <v>2863</v>
      </c>
    </row>
    <row r="3" spans="1:20" s="3226" customFormat="1">
      <c r="A3" s="3847" t="s">
        <v>2864</v>
      </c>
      <c r="B3" s="3221"/>
      <c r="C3" s="3222" t="s">
        <v>2807</v>
      </c>
      <c r="D3" s="3222" t="s">
        <v>2865</v>
      </c>
      <c r="E3" s="3222" t="s">
        <v>2809</v>
      </c>
      <c r="F3" s="3222" t="s">
        <v>2866</v>
      </c>
      <c r="G3" s="3222" t="s">
        <v>2627</v>
      </c>
      <c r="H3" s="3223"/>
      <c r="I3" s="3224" t="s">
        <v>2867</v>
      </c>
      <c r="J3" s="3225" t="s">
        <v>128</v>
      </c>
      <c r="K3" s="3225" t="s">
        <v>129</v>
      </c>
      <c r="L3" s="3224" t="s">
        <v>130</v>
      </c>
      <c r="M3" s="3224" t="s">
        <v>131</v>
      </c>
      <c r="N3" s="3224" t="s">
        <v>132</v>
      </c>
      <c r="O3" s="3224" t="s">
        <v>133</v>
      </c>
      <c r="P3" s="3224" t="s">
        <v>134</v>
      </c>
      <c r="Q3" s="3224" t="s">
        <v>135</v>
      </c>
      <c r="R3" s="3224" t="s">
        <v>136</v>
      </c>
      <c r="S3" s="3224" t="s">
        <v>2868</v>
      </c>
      <c r="T3" s="3224" t="s">
        <v>2869</v>
      </c>
    </row>
    <row r="4" spans="1:20" s="3226" customFormat="1" ht="12" thickBot="1">
      <c r="A4" s="3848"/>
      <c r="B4" s="3227" t="s">
        <v>2870</v>
      </c>
      <c r="C4" s="3227" t="s">
        <v>2871</v>
      </c>
      <c r="D4" s="3227" t="s">
        <v>2871</v>
      </c>
      <c r="E4" s="3227" t="s">
        <v>2871</v>
      </c>
      <c r="F4" s="3228" t="s">
        <v>2871</v>
      </c>
      <c r="G4" s="3228" t="s">
        <v>2871</v>
      </c>
      <c r="H4" s="3223"/>
      <c r="I4" s="3225" t="s">
        <v>137</v>
      </c>
      <c r="J4" s="3225" t="s">
        <v>111</v>
      </c>
      <c r="K4" s="3225" t="s">
        <v>138</v>
      </c>
      <c r="L4" s="3224" t="s">
        <v>139</v>
      </c>
      <c r="M4" s="3224" t="s">
        <v>140</v>
      </c>
      <c r="N4" s="3224" t="s">
        <v>141</v>
      </c>
      <c r="O4" s="3224" t="s">
        <v>142</v>
      </c>
      <c r="P4" s="3224" t="s">
        <v>143</v>
      </c>
      <c r="Q4" s="3224" t="s">
        <v>2872</v>
      </c>
      <c r="R4" s="3224" t="s">
        <v>2873</v>
      </c>
      <c r="S4" s="3224" t="s">
        <v>2874</v>
      </c>
      <c r="T4" s="3224" t="s">
        <v>2875</v>
      </c>
    </row>
    <row r="5" spans="1:20">
      <c r="A5" s="3229" t="s">
        <v>2838</v>
      </c>
      <c r="B5" s="3220" t="s">
        <v>2852</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2876</v>
      </c>
      <c r="R5" s="3224" t="s">
        <v>2877</v>
      </c>
      <c r="S5" s="3224" t="s">
        <v>153</v>
      </c>
      <c r="T5" s="3224" t="s">
        <v>2878</v>
      </c>
    </row>
    <row r="6" spans="1:20" ht="12" thickBot="1">
      <c r="A6" s="3224" t="s">
        <v>144</v>
      </c>
      <c r="B6" s="3224" t="s">
        <v>2867</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2879</v>
      </c>
      <c r="Q6" s="3224" t="s">
        <v>2880</v>
      </c>
      <c r="R6" s="3224" t="s">
        <v>161</v>
      </c>
      <c r="S6" s="3224" t="s">
        <v>2881</v>
      </c>
      <c r="T6" s="3224" t="s">
        <v>2882</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2883</v>
      </c>
      <c r="Q7" s="3224" t="s">
        <v>2884</v>
      </c>
      <c r="R7" s="3224" t="s">
        <v>2885</v>
      </c>
      <c r="S7" s="3224" t="s">
        <v>2886</v>
      </c>
      <c r="T7" s="3224" t="s">
        <v>2887</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2888</v>
      </c>
      <c r="Q8" s="3224" t="s">
        <v>174</v>
      </c>
      <c r="R8" s="3224" t="s">
        <v>2889</v>
      </c>
      <c r="S8" s="3224" t="s">
        <v>2890</v>
      </c>
      <c r="T8" s="3231" t="s">
        <v>2891</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2892</v>
      </c>
      <c r="Q9" s="3224" t="s">
        <v>182</v>
      </c>
      <c r="R9" s="3224" t="s">
        <v>183</v>
      </c>
      <c r="S9" s="3224" t="s">
        <v>200</v>
      </c>
    </row>
    <row r="10" spans="1:20">
      <c r="A10" s="3229" t="s">
        <v>184</v>
      </c>
      <c r="B10" s="3220" t="s">
        <v>2853</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2893</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2894</v>
      </c>
      <c r="P11" s="3224" t="s">
        <v>191</v>
      </c>
      <c r="Q11" s="3224" t="s">
        <v>199</v>
      </c>
      <c r="R11" s="3224" t="s">
        <v>2895</v>
      </c>
      <c r="S11" s="3224" t="s">
        <v>2896</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2897</v>
      </c>
      <c r="P12" s="3224" t="s">
        <v>2898</v>
      </c>
      <c r="Q12" s="3224" t="s">
        <v>2899</v>
      </c>
      <c r="R12" s="3224" t="s">
        <v>2900</v>
      </c>
      <c r="S12" s="3224" t="s">
        <v>2901</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2902</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2903</v>
      </c>
      <c r="K14" s="3225" t="s">
        <v>215</v>
      </c>
      <c r="L14" s="3224" t="s">
        <v>216</v>
      </c>
      <c r="M14" s="3224" t="s">
        <v>217</v>
      </c>
      <c r="N14" s="3224" t="s">
        <v>218</v>
      </c>
      <c r="O14" s="3224" t="s">
        <v>240</v>
      </c>
      <c r="P14" s="3224" t="s">
        <v>213</v>
      </c>
      <c r="Q14" s="3224" t="s">
        <v>2904</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2905</v>
      </c>
      <c r="P15" s="3224" t="s">
        <v>2906</v>
      </c>
      <c r="Q15" s="3224" t="s">
        <v>242</v>
      </c>
      <c r="R15" s="3224" t="s">
        <v>2907</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2908</v>
      </c>
      <c r="P16" s="3224" t="s">
        <v>227</v>
      </c>
      <c r="Q16" s="3224" t="s">
        <v>250</v>
      </c>
      <c r="R16" s="3224" t="s">
        <v>207</v>
      </c>
      <c r="S16" s="3224" t="s">
        <v>2909</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2910</v>
      </c>
      <c r="P17" s="3224" t="s">
        <v>2911</v>
      </c>
      <c r="Q17" s="3224" t="s">
        <v>256</v>
      </c>
      <c r="R17" s="3224" t="s">
        <v>2912</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2913</v>
      </c>
      <c r="P18" s="3224" t="s">
        <v>241</v>
      </c>
      <c r="Q18" s="3224" t="s">
        <v>2914</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2915</v>
      </c>
      <c r="P19" s="3224" t="s">
        <v>249</v>
      </c>
      <c r="Q19" s="3224" t="s">
        <v>2916</v>
      </c>
      <c r="R19" s="3224" t="s">
        <v>265</v>
      </c>
      <c r="S19" s="3224" t="s">
        <v>2917</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2918</v>
      </c>
      <c r="P20" s="3224" t="s">
        <v>2919</v>
      </c>
      <c r="Q20" s="3224" t="s">
        <v>290</v>
      </c>
      <c r="R20" s="3224" t="s">
        <v>2920</v>
      </c>
      <c r="S20" s="3224" t="s">
        <v>277</v>
      </c>
    </row>
    <row r="21" spans="1:19" ht="14.25" customHeight="1" thickBot="1">
      <c r="A21" s="3224" t="s">
        <v>184</v>
      </c>
      <c r="B21" s="3225" t="s">
        <v>208</v>
      </c>
      <c r="C21" s="3224">
        <v>32370</v>
      </c>
      <c r="D21" s="3224">
        <v>26730</v>
      </c>
      <c r="E21" s="3224">
        <v>26640</v>
      </c>
      <c r="F21" s="3224"/>
      <c r="G21" s="3224">
        <v>19440</v>
      </c>
      <c r="J21" s="3231" t="s">
        <v>2921</v>
      </c>
      <c r="K21" s="3225" t="s">
        <v>267</v>
      </c>
      <c r="L21" s="3224" t="s">
        <v>268</v>
      </c>
      <c r="M21" s="3224" t="s">
        <v>269</v>
      </c>
      <c r="N21" s="3224" t="s">
        <v>270</v>
      </c>
      <c r="O21" s="3224" t="s">
        <v>264</v>
      </c>
      <c r="P21" s="3224" t="s">
        <v>283</v>
      </c>
      <c r="Q21" s="3224" t="s">
        <v>293</v>
      </c>
      <c r="R21" s="3224" t="s">
        <v>2922</v>
      </c>
      <c r="S21" s="3231" t="s">
        <v>2923</v>
      </c>
    </row>
    <row r="22" spans="1:19" ht="14.25" customHeight="1">
      <c r="A22" s="3224" t="s">
        <v>184</v>
      </c>
      <c r="B22" s="3225" t="s">
        <v>2903</v>
      </c>
      <c r="C22" s="3224">
        <v>29830</v>
      </c>
      <c r="D22" s="3224">
        <v>27600</v>
      </c>
      <c r="E22" s="3224">
        <v>28150</v>
      </c>
      <c r="F22" s="3224"/>
      <c r="G22" s="3224">
        <v>20080</v>
      </c>
      <c r="K22" s="3225" t="s">
        <v>2924</v>
      </c>
      <c r="L22" s="3224" t="s">
        <v>272</v>
      </c>
      <c r="M22" s="3224" t="s">
        <v>273</v>
      </c>
      <c r="N22" s="3224" t="s">
        <v>274</v>
      </c>
      <c r="O22" s="3224" t="s">
        <v>2925</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2926</v>
      </c>
      <c r="L23" s="3224" t="s">
        <v>278</v>
      </c>
      <c r="M23" s="3224" t="s">
        <v>279</v>
      </c>
      <c r="N23" s="3224" t="s">
        <v>2927</v>
      </c>
      <c r="O23" s="3224" t="s">
        <v>2928</v>
      </c>
      <c r="P23" s="3224" t="s">
        <v>289</v>
      </c>
      <c r="Q23" s="3224" t="s">
        <v>298</v>
      </c>
      <c r="R23" s="3224" t="s">
        <v>2929</v>
      </c>
    </row>
    <row r="24" spans="1:19" ht="14.25" customHeight="1">
      <c r="A24" s="3224" t="s">
        <v>184</v>
      </c>
      <c r="B24" s="3225" t="s">
        <v>230</v>
      </c>
      <c r="C24" s="3224">
        <v>27930</v>
      </c>
      <c r="D24" s="3224">
        <v>32260</v>
      </c>
      <c r="E24" s="3224">
        <v>32120</v>
      </c>
      <c r="F24" s="3224"/>
      <c r="G24" s="3224">
        <v>23470</v>
      </c>
      <c r="K24" s="3225" t="s">
        <v>2930</v>
      </c>
      <c r="L24" s="3224" t="s">
        <v>281</v>
      </c>
      <c r="M24" s="3224" t="s">
        <v>282</v>
      </c>
      <c r="N24" s="3224" t="s">
        <v>2931</v>
      </c>
      <c r="O24" s="3224" t="s">
        <v>285</v>
      </c>
      <c r="P24" s="3224" t="s">
        <v>2932</v>
      </c>
      <c r="Q24" s="3233" t="s">
        <v>2933</v>
      </c>
      <c r="R24" s="3224" t="s">
        <v>2934</v>
      </c>
    </row>
    <row r="25" spans="1:19" ht="14.25" customHeight="1">
      <c r="A25" s="3224" t="s">
        <v>184</v>
      </c>
      <c r="B25" s="3225" t="s">
        <v>235</v>
      </c>
      <c r="C25" s="3224">
        <v>32230</v>
      </c>
      <c r="D25" s="3224">
        <v>29640</v>
      </c>
      <c r="E25" s="3224">
        <v>29510</v>
      </c>
      <c r="F25" s="3224"/>
      <c r="G25" s="3224">
        <v>21560</v>
      </c>
      <c r="K25" s="3225" t="s">
        <v>2935</v>
      </c>
      <c r="L25" s="3224" t="s">
        <v>2936</v>
      </c>
      <c r="M25" s="3224" t="s">
        <v>284</v>
      </c>
      <c r="N25" s="3224" t="s">
        <v>292</v>
      </c>
      <c r="O25" s="3224" t="s">
        <v>288</v>
      </c>
      <c r="P25" s="3224" t="s">
        <v>275</v>
      </c>
      <c r="Q25" s="3233" t="s">
        <v>271</v>
      </c>
      <c r="R25" s="3224" t="s">
        <v>2937</v>
      </c>
    </row>
    <row r="26" spans="1:19" ht="14.25" customHeight="1" thickBot="1">
      <c r="A26" s="3224" t="s">
        <v>184</v>
      </c>
      <c r="B26" s="3225" t="s">
        <v>244</v>
      </c>
      <c r="C26" s="3224">
        <v>31690</v>
      </c>
      <c r="D26" s="3224">
        <v>27650</v>
      </c>
      <c r="E26" s="3224">
        <v>28200</v>
      </c>
      <c r="F26" s="3224"/>
      <c r="G26" s="3224">
        <v>20110</v>
      </c>
      <c r="K26" s="3230" t="s">
        <v>2938</v>
      </c>
      <c r="L26" s="3224" t="s">
        <v>2939</v>
      </c>
      <c r="M26" s="3224" t="s">
        <v>287</v>
      </c>
      <c r="N26" s="3224" t="s">
        <v>294</v>
      </c>
      <c r="O26" s="3224" t="s">
        <v>2940</v>
      </c>
      <c r="P26" s="3224" t="s">
        <v>2941</v>
      </c>
      <c r="Q26" s="3233" t="s">
        <v>276</v>
      </c>
      <c r="R26" s="3224" t="s">
        <v>2942</v>
      </c>
    </row>
    <row r="27" spans="1:19" ht="14.25" customHeight="1">
      <c r="A27" s="3224" t="s">
        <v>184</v>
      </c>
      <c r="B27" s="3225" t="s">
        <v>251</v>
      </c>
      <c r="C27" s="3224">
        <v>29610</v>
      </c>
      <c r="D27" s="3224">
        <v>27770</v>
      </c>
      <c r="E27" s="3224">
        <v>28300</v>
      </c>
      <c r="F27" s="3224"/>
      <c r="G27" s="3224">
        <v>20210</v>
      </c>
      <c r="L27" s="3224" t="s">
        <v>2943</v>
      </c>
      <c r="M27" s="3224" t="s">
        <v>291</v>
      </c>
      <c r="N27" s="3224" t="s">
        <v>297</v>
      </c>
      <c r="O27" s="3224" t="s">
        <v>2944</v>
      </c>
      <c r="P27" s="3224" t="s">
        <v>2945</v>
      </c>
      <c r="Q27" s="3224" t="s">
        <v>2946</v>
      </c>
      <c r="R27" s="3224" t="s">
        <v>2947</v>
      </c>
    </row>
    <row r="28" spans="1:19" ht="14.25" customHeight="1">
      <c r="A28" s="3224" t="s">
        <v>184</v>
      </c>
      <c r="B28" s="3225" t="s">
        <v>259</v>
      </c>
      <c r="C28" s="3224"/>
      <c r="D28" s="3224">
        <v>31520</v>
      </c>
      <c r="E28" s="3224">
        <v>31410</v>
      </c>
      <c r="F28" s="3224"/>
      <c r="G28" s="3224">
        <v>22940</v>
      </c>
      <c r="L28" s="3224" t="s">
        <v>2948</v>
      </c>
      <c r="M28" s="3224" t="s">
        <v>2949</v>
      </c>
      <c r="N28" s="3224" t="s">
        <v>2950</v>
      </c>
      <c r="O28" s="3224" t="s">
        <v>2951</v>
      </c>
      <c r="P28" s="3224" t="s">
        <v>2952</v>
      </c>
      <c r="Q28" s="3224" t="s">
        <v>2953</v>
      </c>
      <c r="R28" s="3224" t="s">
        <v>2954</v>
      </c>
    </row>
    <row r="29" spans="1:19" ht="14.25" customHeight="1" thickBot="1">
      <c r="A29" s="3232" t="s">
        <v>184</v>
      </c>
      <c r="B29" s="3234" t="s">
        <v>2921</v>
      </c>
      <c r="C29" s="3235"/>
      <c r="D29" s="3235">
        <v>29460</v>
      </c>
      <c r="E29" s="3235">
        <v>28640</v>
      </c>
      <c r="F29" s="3235"/>
      <c r="G29" s="3235">
        <v>21430</v>
      </c>
      <c r="L29" s="3224" t="s">
        <v>2955</v>
      </c>
      <c r="M29" s="3224" t="s">
        <v>2956</v>
      </c>
      <c r="N29" s="3224" t="s">
        <v>2957</v>
      </c>
      <c r="O29" s="3224" t="s">
        <v>2958</v>
      </c>
      <c r="P29" s="3224" t="s">
        <v>2959</v>
      </c>
      <c r="Q29" s="3224" t="s">
        <v>2960</v>
      </c>
      <c r="R29" s="3224" t="s">
        <v>280</v>
      </c>
    </row>
    <row r="30" spans="1:19" ht="14.25" customHeight="1">
      <c r="A30" s="3229" t="s">
        <v>296</v>
      </c>
      <c r="B30" s="3220" t="s">
        <v>2854</v>
      </c>
      <c r="C30" s="3220">
        <v>26890</v>
      </c>
      <c r="D30" s="3220">
        <v>26770</v>
      </c>
      <c r="E30" s="3220">
        <v>25700</v>
      </c>
      <c r="F30" s="3220">
        <v>8180</v>
      </c>
      <c r="G30" s="3236">
        <v>18740</v>
      </c>
      <c r="L30" s="3224" t="s">
        <v>2961</v>
      </c>
      <c r="M30" s="3224" t="s">
        <v>2962</v>
      </c>
      <c r="N30" s="3224" t="s">
        <v>2963</v>
      </c>
      <c r="O30" s="3224" t="s">
        <v>2964</v>
      </c>
      <c r="P30" s="3224" t="s">
        <v>2965</v>
      </c>
      <c r="Q30" s="3224" t="s">
        <v>2966</v>
      </c>
      <c r="R30" s="3224" t="s">
        <v>2967</v>
      </c>
    </row>
    <row r="31" spans="1:19" ht="14.25" customHeight="1">
      <c r="A31" s="3224" t="s">
        <v>296</v>
      </c>
      <c r="B31" s="3225" t="s">
        <v>129</v>
      </c>
      <c r="C31" s="3224">
        <v>24550</v>
      </c>
      <c r="D31" s="3224">
        <v>23990</v>
      </c>
      <c r="E31" s="3224">
        <v>22930</v>
      </c>
      <c r="F31" s="3224">
        <v>7470</v>
      </c>
      <c r="G31" s="3237">
        <v>16790</v>
      </c>
      <c r="L31" s="3224" t="s">
        <v>2968</v>
      </c>
      <c r="M31" s="3224" t="s">
        <v>2969</v>
      </c>
      <c r="N31" s="3224" t="s">
        <v>2970</v>
      </c>
      <c r="O31" s="3224" t="s">
        <v>2971</v>
      </c>
      <c r="P31" s="3224" t="s">
        <v>2972</v>
      </c>
      <c r="Q31" s="3224" t="s">
        <v>2973</v>
      </c>
      <c r="R31" s="3224" t="s">
        <v>2974</v>
      </c>
    </row>
    <row r="32" spans="1:19" ht="14.25" customHeight="1" thickBot="1">
      <c r="A32" s="3224" t="s">
        <v>296</v>
      </c>
      <c r="B32" s="3225" t="s">
        <v>138</v>
      </c>
      <c r="C32" s="3224">
        <v>27210</v>
      </c>
      <c r="D32" s="3224">
        <v>23240</v>
      </c>
      <c r="E32" s="3224">
        <v>23260</v>
      </c>
      <c r="F32" s="3224">
        <v>7130</v>
      </c>
      <c r="G32" s="3237">
        <v>16270</v>
      </c>
      <c r="L32" s="3224" t="s">
        <v>2975</v>
      </c>
      <c r="M32" s="3224" t="s">
        <v>2976</v>
      </c>
      <c r="N32" s="3224" t="s">
        <v>300</v>
      </c>
      <c r="O32" s="3224" t="s">
        <v>2977</v>
      </c>
      <c r="P32" s="3224" t="s">
        <v>299</v>
      </c>
      <c r="Q32" s="3224" t="s">
        <v>2978</v>
      </c>
      <c r="R32" s="3231" t="s">
        <v>2979</v>
      </c>
    </row>
    <row r="33" spans="1:17" ht="14.25" customHeight="1" thickBot="1">
      <c r="A33" s="3224" t="s">
        <v>296</v>
      </c>
      <c r="B33" s="3225" t="s">
        <v>147</v>
      </c>
      <c r="C33" s="3224">
        <v>27300</v>
      </c>
      <c r="D33" s="3224">
        <v>22980</v>
      </c>
      <c r="E33" s="3224">
        <v>24260</v>
      </c>
      <c r="F33" s="3224">
        <v>5860</v>
      </c>
      <c r="G33" s="3237">
        <v>16090</v>
      </c>
      <c r="L33" s="3231" t="s">
        <v>2980</v>
      </c>
      <c r="M33" s="3224" t="s">
        <v>2981</v>
      </c>
      <c r="N33" s="3224" t="s">
        <v>301</v>
      </c>
      <c r="O33" s="3224" t="s">
        <v>2982</v>
      </c>
      <c r="P33" s="3224" t="s">
        <v>2983</v>
      </c>
      <c r="Q33" s="3224" t="s">
        <v>2984</v>
      </c>
    </row>
    <row r="34" spans="1:17" ht="14.25" customHeight="1">
      <c r="A34" s="3224" t="s">
        <v>296</v>
      </c>
      <c r="B34" s="3225" t="s">
        <v>156</v>
      </c>
      <c r="C34" s="3224">
        <v>23090</v>
      </c>
      <c r="D34" s="3224">
        <v>23390</v>
      </c>
      <c r="E34" s="3224">
        <v>23510</v>
      </c>
      <c r="F34" s="3224">
        <v>6700</v>
      </c>
      <c r="G34" s="3237">
        <v>16370</v>
      </c>
      <c r="M34" s="3224" t="s">
        <v>2985</v>
      </c>
      <c r="N34" s="3224" t="s">
        <v>302</v>
      </c>
      <c r="O34" s="3224" t="s">
        <v>2986</v>
      </c>
      <c r="P34" s="3224" t="s">
        <v>2987</v>
      </c>
      <c r="Q34" s="3224" t="s">
        <v>2988</v>
      </c>
    </row>
    <row r="35" spans="1:17" ht="14.25" customHeight="1">
      <c r="A35" s="3224" t="s">
        <v>296</v>
      </c>
      <c r="B35" s="3225" t="s">
        <v>163</v>
      </c>
      <c r="C35" s="3224">
        <v>27270</v>
      </c>
      <c r="D35" s="3224">
        <v>24270</v>
      </c>
      <c r="E35" s="3224">
        <v>24950</v>
      </c>
      <c r="F35" s="3224">
        <v>6600</v>
      </c>
      <c r="G35" s="3237">
        <v>16990</v>
      </c>
      <c r="M35" s="3224" t="s">
        <v>2989</v>
      </c>
      <c r="N35" s="3224" t="s">
        <v>2990</v>
      </c>
      <c r="O35" s="3224" t="s">
        <v>2991</v>
      </c>
      <c r="P35" s="3224" t="s">
        <v>2992</v>
      </c>
      <c r="Q35" s="3224" t="s">
        <v>2993</v>
      </c>
    </row>
    <row r="36" spans="1:17" ht="14.25" customHeight="1">
      <c r="A36" s="3224" t="s">
        <v>296</v>
      </c>
      <c r="B36" s="3225" t="s">
        <v>169</v>
      </c>
      <c r="C36" s="3224">
        <v>23490</v>
      </c>
      <c r="D36" s="3224">
        <v>23020</v>
      </c>
      <c r="E36" s="3224">
        <v>25230</v>
      </c>
      <c r="F36" s="3224">
        <v>6780</v>
      </c>
      <c r="G36" s="3237">
        <v>16120</v>
      </c>
      <c r="M36" s="3224" t="s">
        <v>2994</v>
      </c>
      <c r="N36" s="3224" t="s">
        <v>2995</v>
      </c>
      <c r="O36" s="3224" t="s">
        <v>2996</v>
      </c>
      <c r="P36" s="3224" t="s">
        <v>2997</v>
      </c>
      <c r="Q36" s="3224" t="s">
        <v>2998</v>
      </c>
    </row>
    <row r="37" spans="1:17" ht="14.25" customHeight="1">
      <c r="A37" s="3224" t="s">
        <v>296</v>
      </c>
      <c r="B37" s="3225" t="s">
        <v>176</v>
      </c>
      <c r="C37" s="3224">
        <v>24380</v>
      </c>
      <c r="D37" s="3224">
        <v>22240</v>
      </c>
      <c r="E37" s="3224">
        <v>25980</v>
      </c>
      <c r="F37" s="3224">
        <v>8160</v>
      </c>
      <c r="G37" s="3237">
        <v>15570</v>
      </c>
      <c r="M37" s="3224" t="s">
        <v>2999</v>
      </c>
      <c r="N37" s="3224" t="s">
        <v>3000</v>
      </c>
      <c r="O37" s="3224" t="s">
        <v>3001</v>
      </c>
      <c r="P37" s="3224" t="s">
        <v>3002</v>
      </c>
      <c r="Q37" s="3224" t="s">
        <v>3003</v>
      </c>
    </row>
    <row r="38" spans="1:17" ht="14.25" customHeight="1">
      <c r="A38" s="3224" t="s">
        <v>296</v>
      </c>
      <c r="B38" s="3225" t="s">
        <v>186</v>
      </c>
      <c r="C38" s="3224">
        <v>23120</v>
      </c>
      <c r="D38" s="3224">
        <v>24630</v>
      </c>
      <c r="E38" s="3224">
        <v>25030</v>
      </c>
      <c r="F38" s="3224">
        <v>7710</v>
      </c>
      <c r="G38" s="3237">
        <v>17240</v>
      </c>
      <c r="M38" s="3224" t="s">
        <v>3004</v>
      </c>
      <c r="N38" s="3224" t="s">
        <v>3005</v>
      </c>
      <c r="O38" s="3224" t="s">
        <v>3006</v>
      </c>
      <c r="P38" s="3224" t="s">
        <v>3007</v>
      </c>
      <c r="Q38" s="3224" t="s">
        <v>3008</v>
      </c>
    </row>
    <row r="39" spans="1:17" ht="14.25" customHeight="1">
      <c r="A39" s="3224" t="s">
        <v>296</v>
      </c>
      <c r="B39" s="3225" t="s">
        <v>195</v>
      </c>
      <c r="C39" s="3224">
        <v>22330</v>
      </c>
      <c r="D39" s="3224">
        <v>21140</v>
      </c>
      <c r="E39" s="3224">
        <v>23970</v>
      </c>
      <c r="F39" s="3224">
        <v>7940</v>
      </c>
      <c r="G39" s="3237">
        <v>14790</v>
      </c>
      <c r="M39" s="3224" t="s">
        <v>3009</v>
      </c>
      <c r="N39" s="3224" t="s">
        <v>3010</v>
      </c>
      <c r="O39" s="3224" t="s">
        <v>3011</v>
      </c>
      <c r="P39" s="3224" t="s">
        <v>3012</v>
      </c>
      <c r="Q39" s="3224" t="s">
        <v>3013</v>
      </c>
    </row>
    <row r="40" spans="1:17" ht="14.25" customHeight="1">
      <c r="A40" s="3224" t="s">
        <v>296</v>
      </c>
      <c r="B40" s="3225" t="s">
        <v>202</v>
      </c>
      <c r="C40" s="3224">
        <v>24740</v>
      </c>
      <c r="D40" s="3224">
        <v>24690</v>
      </c>
      <c r="E40" s="3224">
        <v>22610</v>
      </c>
      <c r="F40" s="3224"/>
      <c r="G40" s="3237">
        <v>17280</v>
      </c>
      <c r="M40" s="3224" t="s">
        <v>3014</v>
      </c>
      <c r="N40" s="3224" t="s">
        <v>3015</v>
      </c>
      <c r="O40" s="3224" t="s">
        <v>3016</v>
      </c>
      <c r="P40" s="3224" t="s">
        <v>3017</v>
      </c>
      <c r="Q40" s="3224" t="s">
        <v>3018</v>
      </c>
    </row>
    <row r="41" spans="1:17" ht="14.25" customHeight="1" thickBot="1">
      <c r="A41" s="3224" t="s">
        <v>296</v>
      </c>
      <c r="B41" s="3225" t="s">
        <v>209</v>
      </c>
      <c r="C41" s="3224">
        <v>21220</v>
      </c>
      <c r="D41" s="3224">
        <v>21120</v>
      </c>
      <c r="E41" s="3224">
        <v>22590</v>
      </c>
      <c r="F41" s="3224"/>
      <c r="G41" s="3237">
        <v>14780</v>
      </c>
      <c r="M41" s="3231" t="s">
        <v>3019</v>
      </c>
      <c r="N41" s="3224" t="s">
        <v>3020</v>
      </c>
      <c r="O41" s="3224" t="s">
        <v>3021</v>
      </c>
      <c r="P41" s="3224" t="s">
        <v>3022</v>
      </c>
      <c r="Q41" s="3224" t="s">
        <v>3023</v>
      </c>
    </row>
    <row r="42" spans="1:17" ht="14.25" customHeight="1">
      <c r="A42" s="3224" t="s">
        <v>296</v>
      </c>
      <c r="B42" s="3225" t="s">
        <v>215</v>
      </c>
      <c r="C42" s="3224">
        <v>24800</v>
      </c>
      <c r="D42" s="3224">
        <v>22280</v>
      </c>
      <c r="E42" s="3224">
        <v>24350</v>
      </c>
      <c r="F42" s="3224"/>
      <c r="G42" s="3237">
        <v>15590</v>
      </c>
      <c r="N42" s="3224" t="s">
        <v>3024</v>
      </c>
      <c r="O42" s="3224" t="s">
        <v>3025</v>
      </c>
      <c r="P42" s="3224" t="s">
        <v>3026</v>
      </c>
      <c r="Q42" s="3224" t="s">
        <v>3027</v>
      </c>
    </row>
    <row r="43" spans="1:17" ht="14.25" customHeight="1">
      <c r="A43" s="3224" t="s">
        <v>3028</v>
      </c>
      <c r="B43" s="3225" t="s">
        <v>223</v>
      </c>
      <c r="C43" s="3224">
        <v>21210</v>
      </c>
      <c r="D43" s="3224">
        <v>21160</v>
      </c>
      <c r="E43" s="3224">
        <v>22650</v>
      </c>
      <c r="F43" s="3224"/>
      <c r="G43" s="3237">
        <v>14800</v>
      </c>
      <c r="N43" s="3224" t="s">
        <v>3029</v>
      </c>
      <c r="O43" s="3224" t="s">
        <v>3030</v>
      </c>
      <c r="P43" s="3224" t="s">
        <v>3031</v>
      </c>
      <c r="Q43" s="3224" t="s">
        <v>3032</v>
      </c>
    </row>
    <row r="44" spans="1:17" ht="14.25" customHeight="1" thickBot="1">
      <c r="A44" s="3224" t="s">
        <v>296</v>
      </c>
      <c r="B44" s="3225" t="s">
        <v>231</v>
      </c>
      <c r="C44" s="3224">
        <v>22370</v>
      </c>
      <c r="D44" s="3224">
        <v>23140</v>
      </c>
      <c r="E44" s="3224">
        <v>25090</v>
      </c>
      <c r="F44" s="3224"/>
      <c r="G44" s="3237">
        <v>16190</v>
      </c>
      <c r="N44" s="3224" t="s">
        <v>3033</v>
      </c>
      <c r="O44" s="3224" t="s">
        <v>3034</v>
      </c>
      <c r="P44" s="3231" t="s">
        <v>3035</v>
      </c>
      <c r="Q44" s="3224" t="s">
        <v>3036</v>
      </c>
    </row>
    <row r="45" spans="1:17" ht="14.25" customHeight="1" thickBot="1">
      <c r="A45" s="3224" t="s">
        <v>296</v>
      </c>
      <c r="B45" s="3225" t="s">
        <v>236</v>
      </c>
      <c r="C45" s="3224">
        <v>21240</v>
      </c>
      <c r="D45" s="3224">
        <v>27050</v>
      </c>
      <c r="E45" s="3224">
        <v>28000</v>
      </c>
      <c r="F45" s="3224"/>
      <c r="G45" s="3237">
        <v>18940</v>
      </c>
      <c r="N45" s="3224" t="s">
        <v>3037</v>
      </c>
      <c r="O45" s="3231" t="s">
        <v>3038</v>
      </c>
      <c r="Q45" s="3224" t="s">
        <v>3039</v>
      </c>
    </row>
    <row r="46" spans="1:17" ht="14.25" customHeight="1">
      <c r="A46" s="3224" t="s">
        <v>296</v>
      </c>
      <c r="B46" s="3225" t="s">
        <v>245</v>
      </c>
      <c r="C46" s="3224">
        <v>23240</v>
      </c>
      <c r="D46" s="3224">
        <v>23000</v>
      </c>
      <c r="E46" s="3224">
        <v>24980</v>
      </c>
      <c r="F46" s="3224"/>
      <c r="G46" s="3237">
        <v>16100</v>
      </c>
      <c r="N46" s="3224" t="s">
        <v>3040</v>
      </c>
      <c r="Q46" s="3224" t="s">
        <v>3041</v>
      </c>
    </row>
    <row r="47" spans="1:17" ht="14.25" customHeight="1">
      <c r="A47" s="3224" t="s">
        <v>296</v>
      </c>
      <c r="B47" s="3225" t="s">
        <v>252</v>
      </c>
      <c r="C47" s="3224">
        <v>27150</v>
      </c>
      <c r="D47" s="3224">
        <v>23310</v>
      </c>
      <c r="E47" s="3224">
        <v>25150</v>
      </c>
      <c r="F47" s="3224"/>
      <c r="G47" s="3237">
        <v>16310</v>
      </c>
      <c r="N47" s="3224" t="s">
        <v>3042</v>
      </c>
      <c r="Q47" s="3224" t="s">
        <v>3043</v>
      </c>
    </row>
    <row r="48" spans="1:17" ht="14.25" customHeight="1">
      <c r="A48" s="3224" t="s">
        <v>296</v>
      </c>
      <c r="B48" s="3225" t="s">
        <v>260</v>
      </c>
      <c r="C48" s="3224">
        <v>23100</v>
      </c>
      <c r="D48" s="3224">
        <v>21110</v>
      </c>
      <c r="E48" s="3224">
        <v>23080</v>
      </c>
      <c r="F48" s="3224"/>
      <c r="G48" s="3237">
        <v>14780</v>
      </c>
      <c r="N48" s="3224" t="s">
        <v>3044</v>
      </c>
      <c r="Q48" s="3224" t="s">
        <v>3045</v>
      </c>
    </row>
    <row r="49" spans="1:17" ht="14.25" customHeight="1">
      <c r="A49" s="3224" t="s">
        <v>296</v>
      </c>
      <c r="B49" s="3225" t="s">
        <v>267</v>
      </c>
      <c r="C49" s="3224">
        <v>23400</v>
      </c>
      <c r="D49" s="3224">
        <v>22920</v>
      </c>
      <c r="E49" s="3224">
        <v>24900</v>
      </c>
      <c r="F49" s="3224"/>
      <c r="G49" s="3237">
        <v>16040</v>
      </c>
      <c r="N49" s="3224" t="s">
        <v>3046</v>
      </c>
      <c r="Q49" s="3224" t="s">
        <v>3047</v>
      </c>
    </row>
    <row r="50" spans="1:17" ht="14.25" customHeight="1">
      <c r="A50" s="3224" t="s">
        <v>296</v>
      </c>
      <c r="B50" s="3225" t="s">
        <v>2924</v>
      </c>
      <c r="C50" s="3224">
        <v>21200</v>
      </c>
      <c r="D50" s="3224">
        <v>26540</v>
      </c>
      <c r="E50" s="3224">
        <v>23200</v>
      </c>
      <c r="F50" s="3224"/>
      <c r="G50" s="3237">
        <v>18580</v>
      </c>
      <c r="N50" s="3224" t="s">
        <v>3048</v>
      </c>
      <c r="Q50" s="3225" t="s">
        <v>3049</v>
      </c>
    </row>
    <row r="51" spans="1:17" ht="14.25" customHeight="1" thickBot="1">
      <c r="A51" s="3224" t="s">
        <v>296</v>
      </c>
      <c r="B51" s="3225" t="s">
        <v>2926</v>
      </c>
      <c r="C51" s="3224">
        <v>23000</v>
      </c>
      <c r="D51" s="3224">
        <v>23460</v>
      </c>
      <c r="E51" s="3224">
        <v>25290</v>
      </c>
      <c r="F51" s="3224"/>
      <c r="G51" s="3237">
        <v>16420</v>
      </c>
      <c r="N51" s="3224" t="s">
        <v>3050</v>
      </c>
      <c r="Q51" s="3231" t="s">
        <v>3051</v>
      </c>
    </row>
    <row r="52" spans="1:17" ht="14.25" customHeight="1">
      <c r="A52" s="3224" t="s">
        <v>296</v>
      </c>
      <c r="B52" s="3225" t="s">
        <v>2930</v>
      </c>
      <c r="C52" s="3224">
        <v>26660</v>
      </c>
      <c r="D52" s="3224">
        <v>22350</v>
      </c>
      <c r="E52" s="3224">
        <v>22920</v>
      </c>
      <c r="F52" s="3224"/>
      <c r="G52" s="3237">
        <v>15640</v>
      </c>
      <c r="N52" s="3224" t="s">
        <v>3052</v>
      </c>
    </row>
    <row r="53" spans="1:17" ht="14.25" customHeight="1">
      <c r="A53" s="3224" t="s">
        <v>296</v>
      </c>
      <c r="B53" s="3225" t="s">
        <v>2935</v>
      </c>
      <c r="C53" s="3224">
        <v>23580</v>
      </c>
      <c r="D53" s="3224"/>
      <c r="E53" s="3224">
        <v>24280</v>
      </c>
      <c r="F53" s="3224"/>
      <c r="G53" s="3237"/>
      <c r="N53" s="3224" t="s">
        <v>3053</v>
      </c>
    </row>
    <row r="54" spans="1:17" ht="14.25" customHeight="1" thickBot="1">
      <c r="A54" s="3238" t="s">
        <v>296</v>
      </c>
      <c r="B54" s="3230" t="s">
        <v>2938</v>
      </c>
      <c r="C54" s="3231">
        <v>22460</v>
      </c>
      <c r="D54" s="3231"/>
      <c r="E54" s="3231"/>
      <c r="F54" s="3231"/>
      <c r="G54" s="3239"/>
      <c r="N54" s="3224" t="s">
        <v>3054</v>
      </c>
    </row>
    <row r="55" spans="1:17" ht="14.25" customHeight="1">
      <c r="A55" s="3229" t="s">
        <v>110</v>
      </c>
      <c r="B55" s="3220" t="s">
        <v>3055</v>
      </c>
      <c r="C55" s="3224">
        <v>21970</v>
      </c>
      <c r="D55" s="3224">
        <v>20370</v>
      </c>
      <c r="E55" s="3224">
        <v>20180</v>
      </c>
      <c r="F55" s="3224">
        <v>5730</v>
      </c>
      <c r="G55" s="3224">
        <v>13820</v>
      </c>
      <c r="N55" s="3224" t="s">
        <v>3056</v>
      </c>
    </row>
    <row r="56" spans="1:17" ht="14.25" customHeight="1">
      <c r="A56" s="3224" t="s">
        <v>110</v>
      </c>
      <c r="B56" s="3224" t="s">
        <v>130</v>
      </c>
      <c r="C56" s="3224">
        <v>20470</v>
      </c>
      <c r="D56" s="3224">
        <v>20700</v>
      </c>
      <c r="E56" s="3224">
        <v>20380</v>
      </c>
      <c r="F56" s="3224">
        <v>4760</v>
      </c>
      <c r="G56" s="3224">
        <v>14050</v>
      </c>
      <c r="N56" s="3224" t="s">
        <v>3057</v>
      </c>
    </row>
    <row r="57" spans="1:17" ht="14.25" customHeight="1">
      <c r="A57" s="3224" t="s">
        <v>110</v>
      </c>
      <c r="B57" s="3224" t="s">
        <v>139</v>
      </c>
      <c r="C57" s="3224">
        <v>20790</v>
      </c>
      <c r="D57" s="3224">
        <v>21370</v>
      </c>
      <c r="E57" s="3224">
        <v>20890</v>
      </c>
      <c r="F57" s="3224">
        <v>4910</v>
      </c>
      <c r="G57" s="3224">
        <v>14510</v>
      </c>
      <c r="N57" s="3224" t="s">
        <v>3058</v>
      </c>
    </row>
    <row r="58" spans="1:17" ht="14.25" customHeight="1">
      <c r="A58" s="3224" t="s">
        <v>110</v>
      </c>
      <c r="B58" s="3224" t="s">
        <v>148</v>
      </c>
      <c r="C58" s="3224">
        <v>21460</v>
      </c>
      <c r="D58" s="3224">
        <v>20920</v>
      </c>
      <c r="E58" s="3224">
        <v>23410</v>
      </c>
      <c r="F58" s="3224">
        <v>5100</v>
      </c>
      <c r="G58" s="3224">
        <v>14200</v>
      </c>
      <c r="N58" s="3224" t="s">
        <v>3059</v>
      </c>
    </row>
    <row r="59" spans="1:17" ht="14.25" customHeight="1">
      <c r="A59" s="3224" t="s">
        <v>110</v>
      </c>
      <c r="B59" s="3224" t="s">
        <v>157</v>
      </c>
      <c r="C59" s="3224">
        <v>21000</v>
      </c>
      <c r="D59" s="3224">
        <v>21550</v>
      </c>
      <c r="E59" s="3224">
        <v>21150</v>
      </c>
      <c r="F59" s="3224">
        <v>5250</v>
      </c>
      <c r="G59" s="3224">
        <v>14630</v>
      </c>
      <c r="N59" s="3224" t="s">
        <v>3060</v>
      </c>
    </row>
    <row r="60" spans="1:17" ht="14.25" customHeight="1">
      <c r="A60" s="3224" t="s">
        <v>110</v>
      </c>
      <c r="B60" s="3224" t="s">
        <v>164</v>
      </c>
      <c r="C60" s="3224">
        <v>21640</v>
      </c>
      <c r="D60" s="3224">
        <v>21260</v>
      </c>
      <c r="E60" s="3224">
        <v>24040</v>
      </c>
      <c r="F60" s="3224">
        <v>4470</v>
      </c>
      <c r="G60" s="3224">
        <v>14430</v>
      </c>
      <c r="N60" s="3224" t="s">
        <v>3061</v>
      </c>
    </row>
    <row r="61" spans="1:17" ht="14.25" customHeight="1">
      <c r="A61" s="3224" t="s">
        <v>110</v>
      </c>
      <c r="B61" s="3224" t="s">
        <v>170</v>
      </c>
      <c r="C61" s="3224">
        <v>21330</v>
      </c>
      <c r="D61" s="3224">
        <v>18640</v>
      </c>
      <c r="E61" s="3224">
        <v>21190</v>
      </c>
      <c r="F61" s="3224">
        <v>4180</v>
      </c>
      <c r="G61" s="3224">
        <v>12650</v>
      </c>
      <c r="N61" s="3224" t="s">
        <v>3062</v>
      </c>
    </row>
    <row r="62" spans="1:17" ht="14.25" customHeight="1">
      <c r="A62" s="3224" t="s">
        <v>110</v>
      </c>
      <c r="B62" s="3224" t="s">
        <v>177</v>
      </c>
      <c r="C62" s="3224">
        <v>18710</v>
      </c>
      <c r="D62" s="3224">
        <v>19400</v>
      </c>
      <c r="E62" s="3224">
        <v>23750</v>
      </c>
      <c r="F62" s="3224">
        <v>4860</v>
      </c>
      <c r="G62" s="3224">
        <v>13170</v>
      </c>
      <c r="N62" s="3224" t="s">
        <v>3063</v>
      </c>
    </row>
    <row r="63" spans="1:17" ht="14.25" customHeight="1">
      <c r="A63" s="3224" t="s">
        <v>110</v>
      </c>
      <c r="B63" s="3224" t="s">
        <v>187</v>
      </c>
      <c r="C63" s="3224">
        <v>19480</v>
      </c>
      <c r="D63" s="3224">
        <v>16830</v>
      </c>
      <c r="E63" s="3224">
        <v>21590</v>
      </c>
      <c r="F63" s="3224">
        <v>4560</v>
      </c>
      <c r="G63" s="3224">
        <v>11420</v>
      </c>
      <c r="N63" s="3224" t="s">
        <v>3064</v>
      </c>
    </row>
    <row r="64" spans="1:17" ht="14.25" customHeight="1" thickBot="1">
      <c r="A64" s="3224" t="s">
        <v>110</v>
      </c>
      <c r="B64" s="3224" t="s">
        <v>196</v>
      </c>
      <c r="C64" s="3224">
        <v>16920</v>
      </c>
      <c r="D64" s="3224">
        <v>19190</v>
      </c>
      <c r="E64" s="3224">
        <v>22200</v>
      </c>
      <c r="F64" s="3224">
        <v>4390</v>
      </c>
      <c r="G64" s="3224">
        <v>13030</v>
      </c>
      <c r="N64" s="3231" t="s">
        <v>3065</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2936</v>
      </c>
      <c r="C78" s="3224">
        <v>19820</v>
      </c>
      <c r="D78" s="3224">
        <v>19780</v>
      </c>
      <c r="E78" s="3224">
        <v>18560</v>
      </c>
      <c r="F78" s="3224"/>
      <c r="G78" s="3224">
        <v>13430</v>
      </c>
    </row>
    <row r="79" spans="1:7" s="3213" customFormat="1" ht="14.25" customHeight="1">
      <c r="A79" s="3224" t="s">
        <v>110</v>
      </c>
      <c r="B79" s="3224" t="s">
        <v>2939</v>
      </c>
      <c r="C79" s="3224">
        <v>21660</v>
      </c>
      <c r="D79" s="3224">
        <v>18000</v>
      </c>
      <c r="E79" s="3224">
        <v>22570</v>
      </c>
      <c r="F79" s="3224"/>
      <c r="G79" s="3224">
        <v>12220</v>
      </c>
    </row>
    <row r="80" spans="1:7" s="3213" customFormat="1" ht="14.25" customHeight="1">
      <c r="A80" s="3224" t="s">
        <v>110</v>
      </c>
      <c r="B80" s="3224" t="s">
        <v>2943</v>
      </c>
      <c r="C80" s="3224">
        <v>19850</v>
      </c>
      <c r="D80" s="3224"/>
      <c r="E80" s="3224">
        <v>21700</v>
      </c>
      <c r="F80" s="3224"/>
      <c r="G80" s="3224"/>
    </row>
    <row r="81" spans="1:7" s="3213" customFormat="1" ht="14.25" customHeight="1">
      <c r="A81" s="3224" t="s">
        <v>110</v>
      </c>
      <c r="B81" s="3224" t="s">
        <v>2948</v>
      </c>
      <c r="C81" s="3224">
        <v>18080</v>
      </c>
      <c r="D81" s="3224"/>
      <c r="E81" s="3224">
        <v>20900</v>
      </c>
      <c r="F81" s="3224"/>
      <c r="G81" s="3224"/>
    </row>
    <row r="82" spans="1:7" s="3213" customFormat="1" ht="14.25" customHeight="1">
      <c r="A82" s="3224" t="s">
        <v>110</v>
      </c>
      <c r="B82" s="3224" t="s">
        <v>2955</v>
      </c>
      <c r="C82" s="3224"/>
      <c r="D82" s="3224"/>
      <c r="E82" s="3224">
        <v>20840</v>
      </c>
      <c r="F82" s="3224"/>
      <c r="G82" s="3224"/>
    </row>
    <row r="83" spans="1:7" s="3213" customFormat="1" ht="14.25" customHeight="1">
      <c r="A83" s="3224" t="s">
        <v>110</v>
      </c>
      <c r="B83" s="3224" t="s">
        <v>3066</v>
      </c>
      <c r="C83" s="3224"/>
      <c r="D83" s="3224"/>
      <c r="E83" s="3224"/>
      <c r="F83" s="3224">
        <v>4770</v>
      </c>
      <c r="G83" s="3224"/>
    </row>
    <row r="84" spans="1:7" s="3213" customFormat="1" ht="14.25" customHeight="1">
      <c r="A84" s="3224" t="s">
        <v>110</v>
      </c>
      <c r="B84" s="3224" t="s">
        <v>3067</v>
      </c>
      <c r="C84" s="3224"/>
      <c r="D84" s="3224"/>
      <c r="E84" s="3224"/>
      <c r="F84" s="3224">
        <v>4600</v>
      </c>
      <c r="G84" s="3224"/>
    </row>
    <row r="85" spans="1:7" s="3213" customFormat="1" ht="14.25" customHeight="1">
      <c r="A85" s="3224" t="s">
        <v>110</v>
      </c>
      <c r="B85" s="3224" t="s">
        <v>3068</v>
      </c>
      <c r="C85" s="3224"/>
      <c r="D85" s="3224"/>
      <c r="E85" s="3224"/>
      <c r="F85" s="3224">
        <v>4680</v>
      </c>
      <c r="G85" s="3224"/>
    </row>
    <row r="86" spans="1:7" s="3213" customFormat="1" ht="14.25" customHeight="1" thickBot="1">
      <c r="A86" s="3232" t="s">
        <v>110</v>
      </c>
      <c r="B86" s="3234" t="s">
        <v>3069</v>
      </c>
      <c r="C86" s="3235">
        <v>16610</v>
      </c>
      <c r="D86" s="3235">
        <v>16540</v>
      </c>
      <c r="E86" s="3235">
        <v>18850</v>
      </c>
      <c r="F86" s="3235"/>
      <c r="G86" s="3235">
        <v>11220</v>
      </c>
    </row>
    <row r="87" spans="1:7" s="3213" customFormat="1" ht="14.25" customHeight="1">
      <c r="A87" s="3229" t="s">
        <v>303</v>
      </c>
      <c r="B87" s="3220" t="s">
        <v>3070</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2949</v>
      </c>
      <c r="C113" s="3224">
        <v>15520</v>
      </c>
      <c r="D113" s="3224">
        <v>15450</v>
      </c>
      <c r="E113" s="3224"/>
      <c r="F113" s="3224"/>
      <c r="G113" s="3237">
        <v>10210</v>
      </c>
    </row>
    <row r="114" spans="1:7" s="3213" customFormat="1" ht="14.25" customHeight="1">
      <c r="A114" s="3224" t="s">
        <v>303</v>
      </c>
      <c r="B114" s="3224" t="s">
        <v>2956</v>
      </c>
      <c r="C114" s="3224">
        <v>13110</v>
      </c>
      <c r="D114" s="3224">
        <v>13050</v>
      </c>
      <c r="E114" s="3224"/>
      <c r="F114" s="3224"/>
      <c r="G114" s="3237">
        <v>8620</v>
      </c>
    </row>
    <row r="115" spans="1:7" s="3213" customFormat="1" ht="14.25" customHeight="1">
      <c r="A115" s="3224" t="s">
        <v>303</v>
      </c>
      <c r="B115" s="3224" t="s">
        <v>2962</v>
      </c>
      <c r="C115" s="3224">
        <v>12460</v>
      </c>
      <c r="D115" s="3224">
        <v>12390</v>
      </c>
      <c r="E115" s="3224"/>
      <c r="F115" s="3224"/>
      <c r="G115" s="3237">
        <v>8190</v>
      </c>
    </row>
    <row r="116" spans="1:7" s="3213" customFormat="1" ht="14.25" customHeight="1">
      <c r="A116" s="3224" t="s">
        <v>303</v>
      </c>
      <c r="B116" s="3224" t="s">
        <v>2969</v>
      </c>
      <c r="C116" s="3224">
        <v>13580</v>
      </c>
      <c r="D116" s="3224">
        <v>13520</v>
      </c>
      <c r="E116" s="3224"/>
      <c r="F116" s="3224"/>
      <c r="G116" s="3237">
        <v>8930</v>
      </c>
    </row>
    <row r="117" spans="1:7" s="3213" customFormat="1" ht="14.25" customHeight="1">
      <c r="A117" s="3224" t="s">
        <v>303</v>
      </c>
      <c r="B117" s="3224" t="s">
        <v>2976</v>
      </c>
      <c r="C117" s="3224">
        <v>17120</v>
      </c>
      <c r="D117" s="3224">
        <v>17040</v>
      </c>
      <c r="E117" s="3224"/>
      <c r="F117" s="3224"/>
      <c r="G117" s="3237">
        <v>11260</v>
      </c>
    </row>
    <row r="118" spans="1:7" s="3213" customFormat="1" ht="14.25" customHeight="1">
      <c r="A118" s="3224" t="s">
        <v>303</v>
      </c>
      <c r="B118" s="3224" t="s">
        <v>2981</v>
      </c>
      <c r="C118" s="3224">
        <v>14860</v>
      </c>
      <c r="D118" s="3224">
        <v>14790</v>
      </c>
      <c r="E118" s="3224"/>
      <c r="F118" s="3224"/>
      <c r="G118" s="3237">
        <v>9780</v>
      </c>
    </row>
    <row r="119" spans="1:7" s="3213" customFormat="1" ht="14.25" customHeight="1">
      <c r="A119" s="3224" t="s">
        <v>303</v>
      </c>
      <c r="B119" s="3224" t="s">
        <v>2985</v>
      </c>
      <c r="C119" s="3224">
        <v>16470</v>
      </c>
      <c r="D119" s="3224">
        <v>16400</v>
      </c>
      <c r="E119" s="3224"/>
      <c r="F119" s="3224"/>
      <c r="G119" s="3237">
        <v>10840</v>
      </c>
    </row>
    <row r="120" spans="1:7" s="3213" customFormat="1" ht="14.25" customHeight="1">
      <c r="A120" s="3224" t="s">
        <v>303</v>
      </c>
      <c r="B120" s="3224" t="s">
        <v>3071</v>
      </c>
      <c r="C120" s="3224"/>
      <c r="D120" s="3224"/>
      <c r="E120" s="3224"/>
      <c r="F120" s="3224">
        <v>4160</v>
      </c>
      <c r="G120" s="3237"/>
    </row>
    <row r="121" spans="1:7" s="3213" customFormat="1" ht="14.25" customHeight="1">
      <c r="A121" s="3224" t="s">
        <v>303</v>
      </c>
      <c r="B121" s="3224" t="s">
        <v>3072</v>
      </c>
      <c r="C121" s="3224"/>
      <c r="D121" s="3224"/>
      <c r="E121" s="3224"/>
      <c r="F121" s="3224">
        <v>3880</v>
      </c>
      <c r="G121" s="3237"/>
    </row>
    <row r="122" spans="1:7" s="3213" customFormat="1" ht="14.25" customHeight="1">
      <c r="A122" s="3224" t="s">
        <v>303</v>
      </c>
      <c r="B122" s="3224" t="s">
        <v>3073</v>
      </c>
      <c r="C122" s="3224">
        <v>13750</v>
      </c>
      <c r="D122" s="3224">
        <v>13680</v>
      </c>
      <c r="E122" s="3224">
        <v>16460</v>
      </c>
      <c r="F122" s="3224">
        <v>2880</v>
      </c>
      <c r="G122" s="3237">
        <v>9040</v>
      </c>
    </row>
    <row r="123" spans="1:7" s="3213" customFormat="1" ht="14.25" customHeight="1">
      <c r="A123" s="3224" t="s">
        <v>303</v>
      </c>
      <c r="B123" s="3224" t="s">
        <v>3004</v>
      </c>
      <c r="C123" s="3224">
        <v>13590</v>
      </c>
      <c r="D123" s="3224">
        <v>13520</v>
      </c>
      <c r="E123" s="3224">
        <v>16290</v>
      </c>
      <c r="F123" s="3224">
        <v>2790</v>
      </c>
      <c r="G123" s="3237">
        <v>8930</v>
      </c>
    </row>
    <row r="124" spans="1:7" s="3213" customFormat="1" ht="14.25" customHeight="1">
      <c r="A124" s="3224" t="s">
        <v>303</v>
      </c>
      <c r="B124" s="3224" t="s">
        <v>3009</v>
      </c>
      <c r="C124" s="3224">
        <v>13400</v>
      </c>
      <c r="D124" s="3224">
        <v>13320</v>
      </c>
      <c r="E124" s="3224">
        <v>16100</v>
      </c>
      <c r="F124" s="3224">
        <v>2320</v>
      </c>
      <c r="G124" s="3237">
        <v>8800</v>
      </c>
    </row>
    <row r="125" spans="1:7" s="3213" customFormat="1" ht="14.25" customHeight="1">
      <c r="A125" s="3224" t="s">
        <v>303</v>
      </c>
      <c r="B125" s="3224" t="s">
        <v>3014</v>
      </c>
      <c r="C125" s="3224">
        <v>12860</v>
      </c>
      <c r="D125" s="3224">
        <v>12790</v>
      </c>
      <c r="E125" s="3224">
        <v>15370</v>
      </c>
      <c r="F125" s="3224">
        <v>2280</v>
      </c>
      <c r="G125" s="3237">
        <v>8450</v>
      </c>
    </row>
    <row r="126" spans="1:7" s="3213" customFormat="1" ht="14.25" customHeight="1" thickBot="1">
      <c r="A126" s="3238" t="s">
        <v>303</v>
      </c>
      <c r="B126" s="3231" t="s">
        <v>3019</v>
      </c>
      <c r="C126" s="3231">
        <v>12960</v>
      </c>
      <c r="D126" s="3231">
        <v>12890</v>
      </c>
      <c r="E126" s="3231">
        <v>15530</v>
      </c>
      <c r="F126" s="3231">
        <v>2910</v>
      </c>
      <c r="G126" s="3239">
        <v>8520</v>
      </c>
    </row>
    <row r="127" spans="1:7" s="3213" customFormat="1" ht="14.25" customHeight="1">
      <c r="A127" s="3229" t="s">
        <v>29</v>
      </c>
      <c r="B127" s="3220" t="s">
        <v>3074</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3075</v>
      </c>
      <c r="C148" s="3224">
        <v>10370</v>
      </c>
      <c r="D148" s="3224">
        <v>10310</v>
      </c>
      <c r="E148" s="3224">
        <v>12970</v>
      </c>
      <c r="F148" s="3224"/>
      <c r="G148" s="3224">
        <v>6630</v>
      </c>
    </row>
    <row r="149" spans="1:7" s="3213" customFormat="1" ht="14.25" customHeight="1">
      <c r="A149" s="3224" t="s">
        <v>29</v>
      </c>
      <c r="B149" s="3224" t="s">
        <v>3076</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2950</v>
      </c>
      <c r="C153" s="3224">
        <v>10880</v>
      </c>
      <c r="D153" s="3224">
        <v>10820</v>
      </c>
      <c r="E153" s="3224">
        <v>13660</v>
      </c>
      <c r="F153" s="3224">
        <v>2260</v>
      </c>
      <c r="G153" s="3224">
        <v>6970</v>
      </c>
    </row>
    <row r="154" spans="1:7" s="3213" customFormat="1" ht="14.25" customHeight="1">
      <c r="A154" s="3224" t="s">
        <v>29</v>
      </c>
      <c r="B154" s="3224" t="s">
        <v>3077</v>
      </c>
      <c r="C154" s="3224">
        <v>11220</v>
      </c>
      <c r="D154" s="3224">
        <v>11160</v>
      </c>
      <c r="E154" s="3224">
        <v>14130</v>
      </c>
      <c r="F154" s="3224">
        <v>2230</v>
      </c>
      <c r="G154" s="3224">
        <v>7180</v>
      </c>
    </row>
    <row r="155" spans="1:7" s="3213" customFormat="1" ht="14.25" customHeight="1">
      <c r="A155" s="3224" t="s">
        <v>29</v>
      </c>
      <c r="B155" s="3224" t="s">
        <v>2963</v>
      </c>
      <c r="C155" s="3224">
        <v>10430</v>
      </c>
      <c r="D155" s="3224">
        <v>10380</v>
      </c>
      <c r="E155" s="3224">
        <v>13140</v>
      </c>
      <c r="F155" s="3224">
        <v>2080</v>
      </c>
      <c r="G155" s="3224">
        <v>6650</v>
      </c>
    </row>
    <row r="156" spans="1:7" s="3213" customFormat="1" ht="14.25" customHeight="1">
      <c r="A156" s="3224" t="s">
        <v>29</v>
      </c>
      <c r="B156" s="3224" t="s">
        <v>3078</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3079</v>
      </c>
      <c r="C160" s="3224">
        <v>11180</v>
      </c>
      <c r="D160" s="3224">
        <v>11140</v>
      </c>
      <c r="E160" s="3224">
        <v>14050</v>
      </c>
      <c r="F160" s="3224">
        <v>2270</v>
      </c>
      <c r="G160" s="3224">
        <v>7170</v>
      </c>
    </row>
    <row r="161" spans="1:7" s="3213" customFormat="1" ht="14.25" customHeight="1">
      <c r="A161" s="3224" t="s">
        <v>29</v>
      </c>
      <c r="B161" s="3224" t="s">
        <v>2995</v>
      </c>
      <c r="C161" s="3224">
        <v>11160</v>
      </c>
      <c r="D161" s="3224">
        <v>11120</v>
      </c>
      <c r="E161" s="3224">
        <v>14020</v>
      </c>
      <c r="F161" s="3224">
        <v>2150</v>
      </c>
      <c r="G161" s="3224">
        <v>7160</v>
      </c>
    </row>
    <row r="162" spans="1:7" s="3213" customFormat="1" ht="14.25" customHeight="1">
      <c r="A162" s="3224" t="s">
        <v>29</v>
      </c>
      <c r="B162" s="3224" t="s">
        <v>3000</v>
      </c>
      <c r="C162" s="3224">
        <v>9620</v>
      </c>
      <c r="D162" s="3224">
        <v>9570</v>
      </c>
      <c r="E162" s="3224">
        <v>12320</v>
      </c>
      <c r="F162" s="3224">
        <v>2010</v>
      </c>
      <c r="G162" s="3224">
        <v>6160</v>
      </c>
    </row>
    <row r="163" spans="1:7" s="3213" customFormat="1" ht="14.25" customHeight="1">
      <c r="A163" s="3224" t="s">
        <v>29</v>
      </c>
      <c r="B163" s="3224" t="s">
        <v>3005</v>
      </c>
      <c r="C163" s="3224">
        <v>9320</v>
      </c>
      <c r="D163" s="3224">
        <v>9270</v>
      </c>
      <c r="E163" s="3224">
        <v>11790</v>
      </c>
      <c r="F163" s="3224">
        <v>1920</v>
      </c>
      <c r="G163" s="3224">
        <v>5960</v>
      </c>
    </row>
    <row r="164" spans="1:7" s="3213" customFormat="1" ht="14.25" customHeight="1">
      <c r="A164" s="3224" t="s">
        <v>29</v>
      </c>
      <c r="B164" s="3224" t="s">
        <v>3010</v>
      </c>
      <c r="C164" s="3224"/>
      <c r="D164" s="3224"/>
      <c r="E164" s="3224"/>
      <c r="F164" s="3224">
        <v>1980</v>
      </c>
      <c r="G164" s="3224"/>
    </row>
    <row r="165" spans="1:7" s="3213" customFormat="1" ht="14.25" customHeight="1">
      <c r="A165" s="3224" t="s">
        <v>29</v>
      </c>
      <c r="B165" s="3224" t="s">
        <v>3080</v>
      </c>
      <c r="C165" s="3224">
        <v>11060</v>
      </c>
      <c r="D165" s="3224">
        <v>11030</v>
      </c>
      <c r="E165" s="3224">
        <v>13850</v>
      </c>
      <c r="F165" s="3224">
        <v>2170</v>
      </c>
      <c r="G165" s="3224">
        <v>7090</v>
      </c>
    </row>
    <row r="166" spans="1:7" s="3213" customFormat="1" ht="14.25" customHeight="1">
      <c r="A166" s="3224" t="s">
        <v>29</v>
      </c>
      <c r="B166" s="3224" t="s">
        <v>3020</v>
      </c>
      <c r="C166" s="3224">
        <v>11050</v>
      </c>
      <c r="D166" s="3224">
        <v>11010</v>
      </c>
      <c r="E166" s="3224">
        <v>13920</v>
      </c>
      <c r="F166" s="3224">
        <v>2140</v>
      </c>
      <c r="G166" s="3224">
        <v>7080</v>
      </c>
    </row>
    <row r="167" spans="1:7" s="3213" customFormat="1" ht="14.25" customHeight="1">
      <c r="A167" s="3224" t="s">
        <v>29</v>
      </c>
      <c r="B167" s="3224" t="s">
        <v>3024</v>
      </c>
      <c r="C167" s="3224">
        <v>10930</v>
      </c>
      <c r="D167" s="3224">
        <v>10890</v>
      </c>
      <c r="E167" s="3224">
        <v>13790</v>
      </c>
      <c r="F167" s="3224">
        <v>2010</v>
      </c>
      <c r="G167" s="3224">
        <v>7000</v>
      </c>
    </row>
    <row r="168" spans="1:7" s="3213" customFormat="1" ht="14.25" customHeight="1">
      <c r="A168" s="3224" t="s">
        <v>29</v>
      </c>
      <c r="B168" s="3224" t="s">
        <v>3029</v>
      </c>
      <c r="C168" s="3224">
        <v>9420</v>
      </c>
      <c r="D168" s="3224">
        <v>9380</v>
      </c>
      <c r="E168" s="3224">
        <v>11970</v>
      </c>
      <c r="F168" s="3224"/>
      <c r="G168" s="3224">
        <v>6040</v>
      </c>
    </row>
    <row r="169" spans="1:7" s="3213" customFormat="1" ht="14.25" customHeight="1">
      <c r="A169" s="3224" t="s">
        <v>29</v>
      </c>
      <c r="B169" s="3224" t="s">
        <v>3081</v>
      </c>
      <c r="C169" s="3224"/>
      <c r="D169" s="3224"/>
      <c r="E169" s="3224"/>
      <c r="F169" s="3224">
        <v>2880</v>
      </c>
      <c r="G169" s="3224"/>
    </row>
    <row r="170" spans="1:7" s="3213" customFormat="1" ht="14.25" customHeight="1">
      <c r="A170" s="3224" t="s">
        <v>29</v>
      </c>
      <c r="B170" s="3224" t="s">
        <v>3037</v>
      </c>
      <c r="C170" s="3224"/>
      <c r="D170" s="3224"/>
      <c r="E170" s="3224"/>
      <c r="F170" s="3224">
        <v>2880</v>
      </c>
      <c r="G170" s="3224"/>
    </row>
    <row r="171" spans="1:7" s="3213" customFormat="1" ht="14.25" customHeight="1">
      <c r="A171" s="3224" t="s">
        <v>29</v>
      </c>
      <c r="B171" s="3224" t="s">
        <v>3040</v>
      </c>
      <c r="C171" s="3224"/>
      <c r="D171" s="3224"/>
      <c r="E171" s="3224"/>
      <c r="F171" s="3224">
        <v>2880</v>
      </c>
      <c r="G171" s="3224"/>
    </row>
    <row r="172" spans="1:7" s="3213" customFormat="1" ht="14.25" customHeight="1">
      <c r="A172" s="3224" t="s">
        <v>29</v>
      </c>
      <c r="B172" s="3224" t="s">
        <v>3042</v>
      </c>
      <c r="C172" s="3224"/>
      <c r="D172" s="3224"/>
      <c r="E172" s="3224"/>
      <c r="F172" s="3224">
        <v>2880</v>
      </c>
      <c r="G172" s="3224"/>
    </row>
    <row r="173" spans="1:7" s="3213" customFormat="1" ht="14.25" customHeight="1">
      <c r="A173" s="3224" t="s">
        <v>29</v>
      </c>
      <c r="B173" s="3224" t="s">
        <v>3044</v>
      </c>
      <c r="C173" s="3224"/>
      <c r="D173" s="3224"/>
      <c r="E173" s="3224"/>
      <c r="F173" s="3224">
        <v>2150</v>
      </c>
      <c r="G173" s="3224"/>
    </row>
    <row r="174" spans="1:7" s="3213" customFormat="1" ht="14.25" customHeight="1">
      <c r="A174" s="3224" t="s">
        <v>29</v>
      </c>
      <c r="B174" s="3224" t="s">
        <v>3046</v>
      </c>
      <c r="C174" s="3224"/>
      <c r="D174" s="3224"/>
      <c r="E174" s="3224"/>
      <c r="F174" s="3224">
        <v>2030</v>
      </c>
      <c r="G174" s="3224"/>
    </row>
    <row r="175" spans="1:7" s="3213" customFormat="1" ht="14.25" customHeight="1">
      <c r="A175" s="3224" t="s">
        <v>29</v>
      </c>
      <c r="B175" s="3224" t="s">
        <v>3048</v>
      </c>
      <c r="C175" s="3224"/>
      <c r="D175" s="3224"/>
      <c r="E175" s="3224"/>
      <c r="F175" s="3224">
        <v>2780</v>
      </c>
      <c r="G175" s="3224"/>
    </row>
    <row r="176" spans="1:7" s="3213" customFormat="1" ht="14.25" customHeight="1">
      <c r="A176" s="3224" t="s">
        <v>29</v>
      </c>
      <c r="B176" s="3224" t="s">
        <v>3050</v>
      </c>
      <c r="C176" s="3224"/>
      <c r="D176" s="3224"/>
      <c r="E176" s="3224"/>
      <c r="F176" s="3224">
        <v>2780</v>
      </c>
      <c r="G176" s="3224"/>
    </row>
    <row r="177" spans="1:7" s="3213" customFormat="1" ht="14.25" customHeight="1">
      <c r="A177" s="3224" t="s">
        <v>29</v>
      </c>
      <c r="B177" s="3224" t="s">
        <v>3082</v>
      </c>
      <c r="C177" s="3224"/>
      <c r="D177" s="3224"/>
      <c r="E177" s="3224"/>
      <c r="F177" s="3224">
        <v>2780</v>
      </c>
      <c r="G177" s="3224"/>
    </row>
    <row r="178" spans="1:7" s="3213" customFormat="1" ht="14.25" customHeight="1">
      <c r="A178" s="3224" t="s">
        <v>29</v>
      </c>
      <c r="B178" s="3224" t="s">
        <v>3083</v>
      </c>
      <c r="C178" s="3224"/>
      <c r="D178" s="3224"/>
      <c r="E178" s="3224"/>
      <c r="F178" s="3224">
        <v>2060</v>
      </c>
      <c r="G178" s="3224"/>
    </row>
    <row r="179" spans="1:7" s="3213" customFormat="1" ht="14.25" customHeight="1">
      <c r="A179" s="3224" t="s">
        <v>29</v>
      </c>
      <c r="B179" s="3224" t="s">
        <v>3084</v>
      </c>
      <c r="C179" s="3224"/>
      <c r="D179" s="3224"/>
      <c r="E179" s="3224"/>
      <c r="F179" s="3224">
        <v>2120</v>
      </c>
      <c r="G179" s="3224"/>
    </row>
    <row r="180" spans="1:7" s="3213" customFormat="1" ht="14.25" customHeight="1">
      <c r="A180" s="3224" t="s">
        <v>29</v>
      </c>
      <c r="B180" s="3224" t="s">
        <v>3056</v>
      </c>
      <c r="C180" s="3224"/>
      <c r="D180" s="3224"/>
      <c r="E180" s="3224"/>
      <c r="F180" s="3224">
        <v>2340</v>
      </c>
      <c r="G180" s="3224"/>
    </row>
    <row r="181" spans="1:7" s="3213" customFormat="1" ht="14.25" customHeight="1">
      <c r="A181" s="3224" t="s">
        <v>29</v>
      </c>
      <c r="B181" s="3224" t="s">
        <v>3057</v>
      </c>
      <c r="C181" s="3224"/>
      <c r="D181" s="3224"/>
      <c r="E181" s="3224"/>
      <c r="F181" s="3224">
        <v>2340</v>
      </c>
      <c r="G181" s="3224"/>
    </row>
    <row r="182" spans="1:7" s="3213" customFormat="1" ht="14.25" customHeight="1">
      <c r="A182" s="3224" t="s">
        <v>29</v>
      </c>
      <c r="B182" s="3224" t="s">
        <v>3058</v>
      </c>
      <c r="C182" s="3224"/>
      <c r="D182" s="3224"/>
      <c r="E182" s="3224"/>
      <c r="F182" s="3224">
        <v>2340</v>
      </c>
      <c r="G182" s="3224"/>
    </row>
    <row r="183" spans="1:7" s="3213" customFormat="1" ht="14.25" customHeight="1">
      <c r="A183" s="3224" t="s">
        <v>29</v>
      </c>
      <c r="B183" s="3224" t="s">
        <v>3059</v>
      </c>
      <c r="C183" s="3224"/>
      <c r="D183" s="3224"/>
      <c r="E183" s="3224"/>
      <c r="F183" s="3224">
        <v>2340</v>
      </c>
      <c r="G183" s="3224"/>
    </row>
    <row r="184" spans="1:7" s="3213" customFormat="1" ht="14.25" customHeight="1">
      <c r="A184" s="3224" t="s">
        <v>29</v>
      </c>
      <c r="B184" s="3224" t="s">
        <v>3060</v>
      </c>
      <c r="C184" s="3224"/>
      <c r="D184" s="3224"/>
      <c r="E184" s="3224"/>
      <c r="F184" s="3224">
        <v>2340</v>
      </c>
      <c r="G184" s="3224"/>
    </row>
    <row r="185" spans="1:7" s="3213" customFormat="1" ht="14.25" customHeight="1">
      <c r="A185" s="3224" t="s">
        <v>29</v>
      </c>
      <c r="B185" s="3224" t="s">
        <v>3061</v>
      </c>
      <c r="C185" s="3224"/>
      <c r="D185" s="3224"/>
      <c r="E185" s="3224"/>
      <c r="F185" s="3224">
        <v>2530</v>
      </c>
      <c r="G185" s="3224"/>
    </row>
    <row r="186" spans="1:7" s="3213" customFormat="1" ht="14.25" customHeight="1">
      <c r="A186" s="3224" t="s">
        <v>29</v>
      </c>
      <c r="B186" s="3224" t="s">
        <v>3062</v>
      </c>
      <c r="C186" s="3224"/>
      <c r="D186" s="3224"/>
      <c r="E186" s="3224"/>
      <c r="F186" s="3224">
        <v>2550</v>
      </c>
      <c r="G186" s="3224"/>
    </row>
    <row r="187" spans="1:7" s="3213" customFormat="1" ht="14.25" customHeight="1">
      <c r="A187" s="3224" t="s">
        <v>29</v>
      </c>
      <c r="B187" s="3224" t="s">
        <v>3063</v>
      </c>
      <c r="C187" s="3224"/>
      <c r="D187" s="3224"/>
      <c r="E187" s="3224"/>
      <c r="F187" s="3224">
        <v>2070</v>
      </c>
      <c r="G187" s="3224"/>
    </row>
    <row r="188" spans="1:7" s="3213" customFormat="1" ht="14.25" customHeight="1">
      <c r="A188" s="3224" t="s">
        <v>29</v>
      </c>
      <c r="B188" s="3224" t="s">
        <v>3064</v>
      </c>
      <c r="C188" s="3224"/>
      <c r="D188" s="3224"/>
      <c r="E188" s="3224"/>
      <c r="F188" s="3224">
        <v>2340</v>
      </c>
      <c r="G188" s="3224"/>
    </row>
    <row r="189" spans="1:7" s="3213" customFormat="1" ht="14.25" customHeight="1" thickBot="1">
      <c r="A189" s="3232" t="s">
        <v>29</v>
      </c>
      <c r="B189" s="3235" t="s">
        <v>3065</v>
      </c>
      <c r="C189" s="3235"/>
      <c r="D189" s="3235"/>
      <c r="E189" s="3235"/>
      <c r="F189" s="3235">
        <v>2050</v>
      </c>
      <c r="G189" s="3235"/>
    </row>
    <row r="190" spans="1:7" s="3213" customFormat="1" ht="14.25" customHeight="1">
      <c r="A190" s="3229" t="s">
        <v>304</v>
      </c>
      <c r="B190" s="3220" t="s">
        <v>3085</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3086</v>
      </c>
      <c r="C199" s="3224">
        <v>8690</v>
      </c>
      <c r="D199" s="3224">
        <v>8630</v>
      </c>
      <c r="E199" s="3224">
        <v>11350</v>
      </c>
      <c r="F199" s="3224">
        <v>1600</v>
      </c>
      <c r="G199" s="3237">
        <v>5450</v>
      </c>
    </row>
    <row r="200" spans="1:7" s="3213" customFormat="1" ht="14.25" customHeight="1">
      <c r="A200" s="3224" t="s">
        <v>304</v>
      </c>
      <c r="B200" s="3224" t="s">
        <v>2897</v>
      </c>
      <c r="C200" s="3224"/>
      <c r="D200" s="3224"/>
      <c r="E200" s="3224"/>
      <c r="F200" s="3224">
        <v>1510</v>
      </c>
      <c r="G200" s="3237"/>
    </row>
    <row r="201" spans="1:7" s="3213" customFormat="1" ht="14.25" customHeight="1">
      <c r="A201" s="3224" t="s">
        <v>304</v>
      </c>
      <c r="B201" s="3224" t="s">
        <v>3087</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3088</v>
      </c>
      <c r="C203" s="3224">
        <v>8130</v>
      </c>
      <c r="D203" s="3224">
        <v>8070</v>
      </c>
      <c r="E203" s="3224">
        <v>10820</v>
      </c>
      <c r="F203" s="3224">
        <v>1690</v>
      </c>
      <c r="G203" s="3237">
        <v>5100</v>
      </c>
    </row>
    <row r="204" spans="1:7" s="3213" customFormat="1" ht="14.25" customHeight="1">
      <c r="A204" s="3224" t="s">
        <v>304</v>
      </c>
      <c r="B204" s="3224" t="s">
        <v>2908</v>
      </c>
      <c r="C204" s="3224">
        <v>8350</v>
      </c>
      <c r="D204" s="3224">
        <v>8290</v>
      </c>
      <c r="E204" s="3224">
        <v>11080</v>
      </c>
      <c r="F204" s="3224">
        <v>1450</v>
      </c>
      <c r="G204" s="3237">
        <v>5240</v>
      </c>
    </row>
    <row r="205" spans="1:7" s="3213" customFormat="1" ht="14.25" customHeight="1">
      <c r="A205" s="3224" t="s">
        <v>304</v>
      </c>
      <c r="B205" s="3224" t="s">
        <v>2910</v>
      </c>
      <c r="C205" s="3224">
        <v>7190</v>
      </c>
      <c r="D205" s="3224">
        <v>7130</v>
      </c>
      <c r="E205" s="3224">
        <v>9490</v>
      </c>
      <c r="F205" s="3224">
        <v>1470</v>
      </c>
      <c r="G205" s="3237">
        <v>4510</v>
      </c>
    </row>
    <row r="206" spans="1:7" s="3213" customFormat="1" ht="14.25" customHeight="1">
      <c r="A206" s="3224" t="s">
        <v>304</v>
      </c>
      <c r="B206" s="3224" t="s">
        <v>2913</v>
      </c>
      <c r="C206" s="3224">
        <v>7000</v>
      </c>
      <c r="D206" s="3224">
        <v>6950</v>
      </c>
      <c r="E206" s="3224">
        <v>9170</v>
      </c>
      <c r="F206" s="3224">
        <v>1400</v>
      </c>
      <c r="G206" s="3237">
        <v>4380</v>
      </c>
    </row>
    <row r="207" spans="1:7" s="3213" customFormat="1" ht="14.25" customHeight="1">
      <c r="A207" s="3224" t="s">
        <v>304</v>
      </c>
      <c r="B207" s="3224" t="s">
        <v>2915</v>
      </c>
      <c r="C207" s="3224">
        <v>6950</v>
      </c>
      <c r="D207" s="3224">
        <v>6900</v>
      </c>
      <c r="E207" s="3224">
        <v>9110</v>
      </c>
      <c r="F207" s="3224">
        <v>1790</v>
      </c>
      <c r="G207" s="3237">
        <v>4360</v>
      </c>
    </row>
    <row r="208" spans="1:7" s="3213" customFormat="1" ht="14.25" customHeight="1">
      <c r="A208" s="3224" t="s">
        <v>304</v>
      </c>
      <c r="B208" s="3224" t="s">
        <v>3089</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2925</v>
      </c>
      <c r="C210" s="3224">
        <v>8710</v>
      </c>
      <c r="D210" s="3224">
        <v>8660</v>
      </c>
      <c r="E210" s="3224">
        <v>11440</v>
      </c>
      <c r="F210" s="3224">
        <v>1740</v>
      </c>
      <c r="G210" s="3237">
        <v>5470</v>
      </c>
    </row>
    <row r="211" spans="1:7" s="3213" customFormat="1" ht="14.25" customHeight="1">
      <c r="A211" s="3224" t="s">
        <v>304</v>
      </c>
      <c r="B211" s="3224" t="s">
        <v>3090</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3091</v>
      </c>
      <c r="C214" s="3224">
        <v>8090</v>
      </c>
      <c r="D214" s="3224">
        <v>8030</v>
      </c>
      <c r="E214" s="3224">
        <v>10780</v>
      </c>
      <c r="F214" s="3224">
        <v>1570</v>
      </c>
      <c r="G214" s="3237">
        <v>5070</v>
      </c>
    </row>
    <row r="215" spans="1:7" s="3213" customFormat="1" ht="14.25" customHeight="1">
      <c r="A215" s="3224" t="s">
        <v>304</v>
      </c>
      <c r="B215" s="3224" t="s">
        <v>3092</v>
      </c>
      <c r="C215" s="3224">
        <v>7950</v>
      </c>
      <c r="D215" s="3224">
        <v>7900</v>
      </c>
      <c r="E215" s="3224">
        <v>10560</v>
      </c>
      <c r="F215" s="3224">
        <v>1630</v>
      </c>
      <c r="G215" s="3237">
        <v>4990</v>
      </c>
    </row>
    <row r="216" spans="1:7" s="3213" customFormat="1" ht="14.25" customHeight="1">
      <c r="A216" s="3224" t="s">
        <v>304</v>
      </c>
      <c r="B216" s="3224" t="s">
        <v>3093</v>
      </c>
      <c r="C216" s="3224">
        <v>8490</v>
      </c>
      <c r="D216" s="3224">
        <v>8440</v>
      </c>
      <c r="E216" s="3224">
        <v>11260</v>
      </c>
      <c r="F216" s="3224">
        <v>1690</v>
      </c>
      <c r="G216" s="3237">
        <v>5330</v>
      </c>
    </row>
    <row r="217" spans="1:7" s="3213" customFormat="1" ht="14.25" customHeight="1">
      <c r="A217" s="3224" t="s">
        <v>304</v>
      </c>
      <c r="B217" s="3224" t="s">
        <v>2958</v>
      </c>
      <c r="C217" s="3224">
        <v>8200</v>
      </c>
      <c r="D217" s="3224">
        <v>8150</v>
      </c>
      <c r="E217" s="3224">
        <v>10910</v>
      </c>
      <c r="F217" s="3224">
        <v>1670</v>
      </c>
      <c r="G217" s="3237">
        <v>5150</v>
      </c>
    </row>
    <row r="218" spans="1:7" s="3213" customFormat="1" ht="14.25" customHeight="1">
      <c r="A218" s="3224" t="s">
        <v>304</v>
      </c>
      <c r="B218" s="3224" t="s">
        <v>3094</v>
      </c>
      <c r="C218" s="3224"/>
      <c r="D218" s="3224"/>
      <c r="E218" s="3224"/>
      <c r="F218" s="3224">
        <v>2040</v>
      </c>
      <c r="G218" s="3237"/>
    </row>
    <row r="219" spans="1:7" s="3213" customFormat="1" ht="14.25" customHeight="1">
      <c r="A219" s="3224" t="s">
        <v>304</v>
      </c>
      <c r="B219" s="3224" t="s">
        <v>3095</v>
      </c>
      <c r="C219" s="3224"/>
      <c r="D219" s="3224"/>
      <c r="E219" s="3224"/>
      <c r="F219" s="3224">
        <v>2040</v>
      </c>
      <c r="G219" s="3237"/>
    </row>
    <row r="220" spans="1:7" s="3213" customFormat="1" ht="14.25" customHeight="1">
      <c r="A220" s="3224" t="s">
        <v>304</v>
      </c>
      <c r="B220" s="3224" t="s">
        <v>3096</v>
      </c>
      <c r="C220" s="3224"/>
      <c r="D220" s="3224"/>
      <c r="E220" s="3224"/>
      <c r="F220" s="3224">
        <v>2040</v>
      </c>
      <c r="G220" s="3237"/>
    </row>
    <row r="221" spans="1:7" s="3213" customFormat="1" ht="14.25" customHeight="1">
      <c r="A221" s="3224" t="s">
        <v>304</v>
      </c>
      <c r="B221" s="3224" t="s">
        <v>3097</v>
      </c>
      <c r="C221" s="3224"/>
      <c r="D221" s="3224"/>
      <c r="E221" s="3224"/>
      <c r="F221" s="3224">
        <v>2040</v>
      </c>
      <c r="G221" s="3237"/>
    </row>
    <row r="222" spans="1:7" s="3213" customFormat="1" ht="14.25" customHeight="1">
      <c r="A222" s="3224" t="s">
        <v>304</v>
      </c>
      <c r="B222" s="3224" t="s">
        <v>3098</v>
      </c>
      <c r="C222" s="3224"/>
      <c r="D222" s="3224"/>
      <c r="E222" s="3224"/>
      <c r="F222" s="3224">
        <v>2040</v>
      </c>
      <c r="G222" s="3237"/>
    </row>
    <row r="223" spans="1:7" s="3213" customFormat="1" ht="14.25" customHeight="1">
      <c r="A223" s="3224" t="s">
        <v>304</v>
      </c>
      <c r="B223" s="3224" t="s">
        <v>3099</v>
      </c>
      <c r="C223" s="3224"/>
      <c r="D223" s="3224"/>
      <c r="E223" s="3224"/>
      <c r="F223" s="3224">
        <v>1930</v>
      </c>
      <c r="G223" s="3237"/>
    </row>
    <row r="224" spans="1:7" s="3213" customFormat="1" ht="14.25" customHeight="1">
      <c r="A224" s="3224" t="s">
        <v>304</v>
      </c>
      <c r="B224" s="3224" t="s">
        <v>3100</v>
      </c>
      <c r="C224" s="3224"/>
      <c r="D224" s="3224"/>
      <c r="E224" s="3224"/>
      <c r="F224" s="3224">
        <v>1930</v>
      </c>
      <c r="G224" s="3237"/>
    </row>
    <row r="225" spans="1:7" s="3213" customFormat="1" ht="14.25" customHeight="1">
      <c r="A225" s="3224" t="s">
        <v>304</v>
      </c>
      <c r="B225" s="3224" t="s">
        <v>3101</v>
      </c>
      <c r="C225" s="3224"/>
      <c r="D225" s="3224"/>
      <c r="E225" s="3224"/>
      <c r="F225" s="3224">
        <v>1930</v>
      </c>
      <c r="G225" s="3237"/>
    </row>
    <row r="226" spans="1:7" s="3213" customFormat="1" ht="14.25" customHeight="1">
      <c r="A226" s="3224" t="s">
        <v>304</v>
      </c>
      <c r="B226" s="3224" t="s">
        <v>3102</v>
      </c>
      <c r="C226" s="3224"/>
      <c r="D226" s="3224"/>
      <c r="E226" s="3224"/>
      <c r="F226" s="3224">
        <v>1700</v>
      </c>
      <c r="G226" s="3237"/>
    </row>
    <row r="227" spans="1:7" s="3213" customFormat="1" ht="14.25" customHeight="1">
      <c r="A227" s="3224" t="s">
        <v>304</v>
      </c>
      <c r="B227" s="3224" t="s">
        <v>3103</v>
      </c>
      <c r="C227" s="3224"/>
      <c r="D227" s="3224"/>
      <c r="E227" s="3224"/>
      <c r="F227" s="3224">
        <v>1520</v>
      </c>
      <c r="G227" s="3237"/>
    </row>
    <row r="228" spans="1:7" s="3213" customFormat="1" ht="14.25" customHeight="1">
      <c r="A228" s="3224" t="s">
        <v>304</v>
      </c>
      <c r="B228" s="3224" t="s">
        <v>3104</v>
      </c>
      <c r="C228" s="3224"/>
      <c r="D228" s="3224"/>
      <c r="E228" s="3224"/>
      <c r="F228" s="3224">
        <v>1520</v>
      </c>
      <c r="G228" s="3237"/>
    </row>
    <row r="229" spans="1:7" s="3213" customFormat="1" ht="14.25" customHeight="1">
      <c r="A229" s="3224" t="s">
        <v>304</v>
      </c>
      <c r="B229" s="3224" t="s">
        <v>3021</v>
      </c>
      <c r="C229" s="3224"/>
      <c r="D229" s="3224"/>
      <c r="E229" s="3224"/>
      <c r="F229" s="3224">
        <v>1520</v>
      </c>
      <c r="G229" s="3237"/>
    </row>
    <row r="230" spans="1:7" s="3213" customFormat="1" ht="14.25" customHeight="1">
      <c r="A230" s="3224" t="s">
        <v>304</v>
      </c>
      <c r="B230" s="3224" t="s">
        <v>3105</v>
      </c>
      <c r="C230" s="3224"/>
      <c r="D230" s="3224"/>
      <c r="E230" s="3224"/>
      <c r="F230" s="3224">
        <v>1820</v>
      </c>
      <c r="G230" s="3237"/>
    </row>
    <row r="231" spans="1:7" s="3213" customFormat="1" ht="14.25" customHeight="1">
      <c r="A231" s="3224" t="s">
        <v>304</v>
      </c>
      <c r="B231" s="3224" t="s">
        <v>3106</v>
      </c>
      <c r="C231" s="3224"/>
      <c r="D231" s="3224"/>
      <c r="E231" s="3224"/>
      <c r="F231" s="3224">
        <v>1760</v>
      </c>
      <c r="G231" s="3237"/>
    </row>
    <row r="232" spans="1:7" s="3213" customFormat="1" ht="14.25" customHeight="1">
      <c r="A232" s="3224" t="s">
        <v>304</v>
      </c>
      <c r="B232" s="3224" t="s">
        <v>3107</v>
      </c>
      <c r="C232" s="3224"/>
      <c r="D232" s="3224"/>
      <c r="E232" s="3224"/>
      <c r="F232" s="3224">
        <v>1840</v>
      </c>
      <c r="G232" s="3237"/>
    </row>
    <row r="233" spans="1:7" s="3213" customFormat="1" ht="14.25" customHeight="1" thickBot="1">
      <c r="A233" s="3238" t="s">
        <v>304</v>
      </c>
      <c r="B233" s="3231" t="s">
        <v>3038</v>
      </c>
      <c r="C233" s="3231"/>
      <c r="D233" s="3231"/>
      <c r="E233" s="3231"/>
      <c r="F233" s="3231">
        <v>1770</v>
      </c>
      <c r="G233" s="3239"/>
    </row>
    <row r="234" spans="1:7" s="3213" customFormat="1" ht="14.25" customHeight="1">
      <c r="A234" s="3229" t="s">
        <v>305</v>
      </c>
      <c r="B234" s="3220" t="s">
        <v>3108</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2879</v>
      </c>
      <c r="C238" s="3224">
        <v>6920</v>
      </c>
      <c r="D238" s="3224">
        <v>6890</v>
      </c>
      <c r="E238" s="3224">
        <v>8640</v>
      </c>
      <c r="F238" s="3224">
        <v>1310</v>
      </c>
      <c r="G238" s="3224">
        <v>4230</v>
      </c>
    </row>
    <row r="239" spans="1:7" s="3213" customFormat="1" ht="14.25" customHeight="1">
      <c r="A239" s="3224" t="s">
        <v>305</v>
      </c>
      <c r="B239" s="3224" t="s">
        <v>3109</v>
      </c>
      <c r="C239" s="3224">
        <v>6780</v>
      </c>
      <c r="D239" s="3224">
        <v>6750</v>
      </c>
      <c r="E239" s="3224">
        <v>8440</v>
      </c>
      <c r="F239" s="3224">
        <v>1160</v>
      </c>
      <c r="G239" s="3224">
        <v>4140</v>
      </c>
    </row>
    <row r="240" spans="1:7" s="3213" customFormat="1" ht="14.25" customHeight="1">
      <c r="A240" s="3224" t="s">
        <v>305</v>
      </c>
      <c r="B240" s="3224" t="s">
        <v>3110</v>
      </c>
      <c r="C240" s="3224">
        <v>5420</v>
      </c>
      <c r="D240" s="3224">
        <v>5380</v>
      </c>
      <c r="E240" s="3224">
        <v>6640</v>
      </c>
      <c r="F240" s="3224">
        <v>1020</v>
      </c>
      <c r="G240" s="3224">
        <v>3300</v>
      </c>
    </row>
    <row r="241" spans="1:7" s="3213" customFormat="1" ht="14.25" customHeight="1">
      <c r="A241" s="3224" t="s">
        <v>305</v>
      </c>
      <c r="B241" s="3224" t="s">
        <v>3111</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3112</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3113</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3114</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3115</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3116</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2941</v>
      </c>
      <c r="C258" s="3224">
        <v>6190</v>
      </c>
      <c r="D258" s="3224">
        <v>6160</v>
      </c>
      <c r="E258" s="3224">
        <v>7680</v>
      </c>
      <c r="F258" s="3224">
        <v>1170</v>
      </c>
      <c r="G258" s="3224">
        <v>3780</v>
      </c>
    </row>
    <row r="259" spans="1:7" s="3213" customFormat="1" ht="14.25" customHeight="1">
      <c r="A259" s="3224" t="s">
        <v>305</v>
      </c>
      <c r="B259" s="3224" t="s">
        <v>3117</v>
      </c>
      <c r="C259" s="3224">
        <v>7610</v>
      </c>
      <c r="D259" s="3224">
        <v>7570</v>
      </c>
      <c r="E259" s="3224">
        <v>9350</v>
      </c>
      <c r="F259" s="3224">
        <v>1350</v>
      </c>
      <c r="G259" s="3224">
        <v>4650</v>
      </c>
    </row>
    <row r="260" spans="1:7" s="3213" customFormat="1" ht="14.25" customHeight="1">
      <c r="A260" s="3224" t="s">
        <v>305</v>
      </c>
      <c r="B260" s="3224" t="s">
        <v>3118</v>
      </c>
      <c r="C260" s="3224">
        <v>6920</v>
      </c>
      <c r="D260" s="3224">
        <v>6880</v>
      </c>
      <c r="E260" s="3224">
        <v>8380</v>
      </c>
      <c r="F260" s="3224">
        <v>1160</v>
      </c>
      <c r="G260" s="3224">
        <v>4220</v>
      </c>
    </row>
    <row r="261" spans="1:7" s="3213" customFormat="1" ht="14.25" customHeight="1">
      <c r="A261" s="3224" t="s">
        <v>305</v>
      </c>
      <c r="B261" s="3224" t="s">
        <v>3119</v>
      </c>
      <c r="C261" s="3224">
        <v>6850</v>
      </c>
      <c r="D261" s="3224">
        <v>6810</v>
      </c>
      <c r="E261" s="3224">
        <v>8290</v>
      </c>
      <c r="F261" s="3224">
        <v>1130</v>
      </c>
      <c r="G261" s="3224">
        <v>4180</v>
      </c>
    </row>
    <row r="262" spans="1:7" s="3213" customFormat="1" ht="14.25" customHeight="1">
      <c r="A262" s="3224" t="s">
        <v>305</v>
      </c>
      <c r="B262" s="3224" t="s">
        <v>3120</v>
      </c>
      <c r="C262" s="3224">
        <v>5860</v>
      </c>
      <c r="D262" s="3224">
        <v>5820</v>
      </c>
      <c r="E262" s="3224">
        <v>7640</v>
      </c>
      <c r="F262" s="3224">
        <v>1070</v>
      </c>
      <c r="G262" s="3224">
        <v>3570</v>
      </c>
    </row>
    <row r="263" spans="1:7" s="3213" customFormat="1" ht="14.25" customHeight="1">
      <c r="A263" s="3224" t="s">
        <v>305</v>
      </c>
      <c r="B263" s="3224" t="s">
        <v>3121</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3122</v>
      </c>
      <c r="C265" s="3224"/>
      <c r="D265" s="3224"/>
      <c r="E265" s="3224"/>
      <c r="F265" s="3224">
        <v>1500</v>
      </c>
      <c r="G265" s="3224"/>
    </row>
    <row r="266" spans="1:7" s="3213" customFormat="1" ht="14.25" customHeight="1">
      <c r="A266" s="3224" t="s">
        <v>305</v>
      </c>
      <c r="B266" s="3224" t="s">
        <v>3123</v>
      </c>
      <c r="C266" s="3224"/>
      <c r="D266" s="3224"/>
      <c r="E266" s="3224"/>
      <c r="F266" s="3224">
        <v>1500</v>
      </c>
      <c r="G266" s="3224"/>
    </row>
    <row r="267" spans="1:7" s="3213" customFormat="1" ht="14.25" customHeight="1">
      <c r="A267" s="3224" t="s">
        <v>305</v>
      </c>
      <c r="B267" s="3224" t="s">
        <v>3124</v>
      </c>
      <c r="C267" s="3224"/>
      <c r="D267" s="3224"/>
      <c r="E267" s="3224"/>
      <c r="F267" s="3224">
        <v>1500</v>
      </c>
      <c r="G267" s="3224"/>
    </row>
    <row r="268" spans="1:7" s="3213" customFormat="1" ht="14.25" customHeight="1">
      <c r="A268" s="3224" t="s">
        <v>305</v>
      </c>
      <c r="B268" s="3224" t="s">
        <v>3125</v>
      </c>
      <c r="C268" s="3224"/>
      <c r="D268" s="3224"/>
      <c r="E268" s="3224"/>
      <c r="F268" s="3224">
        <v>1290</v>
      </c>
      <c r="G268" s="3224"/>
    </row>
    <row r="269" spans="1:7" s="3213" customFormat="1" ht="14.25" customHeight="1">
      <c r="A269" s="3224" t="s">
        <v>305</v>
      </c>
      <c r="B269" s="3224" t="s">
        <v>3126</v>
      </c>
      <c r="C269" s="3224"/>
      <c r="D269" s="3224"/>
      <c r="E269" s="3224"/>
      <c r="F269" s="3224">
        <v>1150</v>
      </c>
      <c r="G269" s="3224"/>
    </row>
    <row r="270" spans="1:7" s="3213" customFormat="1" ht="14.25" customHeight="1">
      <c r="A270" s="3224" t="s">
        <v>305</v>
      </c>
      <c r="B270" s="3224" t="s">
        <v>3127</v>
      </c>
      <c r="C270" s="3224"/>
      <c r="D270" s="3224"/>
      <c r="E270" s="3224"/>
      <c r="F270" s="3224">
        <v>1380</v>
      </c>
      <c r="G270" s="3224"/>
    </row>
    <row r="271" spans="1:7" s="3213" customFormat="1" ht="14.25" customHeight="1">
      <c r="A271" s="3224" t="s">
        <v>305</v>
      </c>
      <c r="B271" s="3224" t="s">
        <v>3128</v>
      </c>
      <c r="C271" s="3224"/>
      <c r="D271" s="3224"/>
      <c r="E271" s="3224"/>
      <c r="F271" s="3224">
        <v>1460</v>
      </c>
      <c r="G271" s="3224"/>
    </row>
    <row r="272" spans="1:7" s="3213" customFormat="1" ht="14.25" customHeight="1">
      <c r="A272" s="3224" t="s">
        <v>305</v>
      </c>
      <c r="B272" s="3224" t="s">
        <v>3129</v>
      </c>
      <c r="C272" s="3224"/>
      <c r="D272" s="3224"/>
      <c r="E272" s="3224"/>
      <c r="F272" s="3224">
        <v>1460</v>
      </c>
      <c r="G272" s="3224"/>
    </row>
    <row r="273" spans="1:7" s="3213" customFormat="1" ht="14.25" customHeight="1">
      <c r="A273" s="3224" t="s">
        <v>305</v>
      </c>
      <c r="B273" s="3224" t="s">
        <v>3022</v>
      </c>
      <c r="C273" s="3224"/>
      <c r="D273" s="3224"/>
      <c r="E273" s="3224"/>
      <c r="F273" s="3224">
        <v>1490</v>
      </c>
      <c r="G273" s="3224"/>
    </row>
    <row r="274" spans="1:7" s="3213" customFormat="1" ht="14.25" customHeight="1">
      <c r="A274" s="3224" t="s">
        <v>305</v>
      </c>
      <c r="B274" s="3224" t="s">
        <v>3130</v>
      </c>
      <c r="C274" s="3224"/>
      <c r="D274" s="3224"/>
      <c r="E274" s="3224"/>
      <c r="F274" s="3224">
        <v>1490</v>
      </c>
      <c r="G274" s="3224"/>
    </row>
    <row r="275" spans="1:7" s="3213" customFormat="1" ht="14.25" customHeight="1">
      <c r="A275" s="3224" t="s">
        <v>305</v>
      </c>
      <c r="B275" s="3224" t="s">
        <v>3131</v>
      </c>
      <c r="C275" s="3224"/>
      <c r="D275" s="3224"/>
      <c r="E275" s="3224"/>
      <c r="F275" s="3224">
        <v>1220</v>
      </c>
      <c r="G275" s="3224"/>
    </row>
    <row r="276" spans="1:7" s="3213" customFormat="1" ht="14.25" customHeight="1" thickBot="1">
      <c r="A276" s="3232" t="s">
        <v>305</v>
      </c>
      <c r="B276" s="3234" t="s">
        <v>3132</v>
      </c>
      <c r="C276" s="3235"/>
      <c r="D276" s="3235"/>
      <c r="E276" s="3235"/>
      <c r="F276" s="3235">
        <v>1380</v>
      </c>
      <c r="G276" s="3235"/>
    </row>
    <row r="277" spans="1:7" s="3213" customFormat="1" ht="14.25" customHeight="1">
      <c r="A277" s="3229" t="s">
        <v>306</v>
      </c>
      <c r="B277" s="3220" t="s">
        <v>3133</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3134</v>
      </c>
      <c r="C279" s="3224">
        <v>4760</v>
      </c>
      <c r="D279" s="3224">
        <v>4720</v>
      </c>
      <c r="E279" s="3224">
        <v>5540</v>
      </c>
      <c r="F279" s="3224">
        <v>810</v>
      </c>
      <c r="G279" s="3237">
        <v>2850</v>
      </c>
    </row>
    <row r="280" spans="1:7" s="3213" customFormat="1" ht="14.25" customHeight="1">
      <c r="A280" s="3224" t="s">
        <v>306</v>
      </c>
      <c r="B280" s="3224" t="s">
        <v>3135</v>
      </c>
      <c r="C280" s="3224">
        <v>4010</v>
      </c>
      <c r="D280" s="3224">
        <v>3950</v>
      </c>
      <c r="E280" s="3224">
        <v>4710</v>
      </c>
      <c r="F280" s="3224">
        <v>800</v>
      </c>
      <c r="G280" s="3237">
        <v>2390</v>
      </c>
    </row>
    <row r="281" spans="1:7" s="3213" customFormat="1" ht="14.25" customHeight="1">
      <c r="A281" s="3224" t="s">
        <v>306</v>
      </c>
      <c r="B281" s="3224" t="s">
        <v>3136</v>
      </c>
      <c r="C281" s="3224">
        <v>4480</v>
      </c>
      <c r="D281" s="3224">
        <v>4420</v>
      </c>
      <c r="E281" s="3224">
        <v>5230</v>
      </c>
      <c r="F281" s="3224">
        <v>870</v>
      </c>
      <c r="G281" s="3237">
        <v>2660</v>
      </c>
    </row>
    <row r="282" spans="1:7" s="3213" customFormat="1" ht="14.25" customHeight="1">
      <c r="A282" s="3224" t="s">
        <v>306</v>
      </c>
      <c r="B282" s="3224" t="s">
        <v>3137</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3138</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3139</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2914</v>
      </c>
      <c r="C293" s="3224">
        <v>5320</v>
      </c>
      <c r="D293" s="3224">
        <v>5270</v>
      </c>
      <c r="E293" s="3224">
        <v>6160</v>
      </c>
      <c r="F293" s="3224">
        <v>990</v>
      </c>
      <c r="G293" s="3237">
        <v>3170</v>
      </c>
    </row>
    <row r="294" spans="1:7" s="3213" customFormat="1" ht="14.25" customHeight="1">
      <c r="A294" s="3224" t="s">
        <v>306</v>
      </c>
      <c r="B294" s="3224" t="s">
        <v>3140</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2933</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3141</v>
      </c>
      <c r="C302" s="3224">
        <v>5520</v>
      </c>
      <c r="D302" s="3224">
        <v>5470</v>
      </c>
      <c r="E302" s="3224">
        <v>6410</v>
      </c>
      <c r="F302" s="3224">
        <v>950</v>
      </c>
      <c r="G302" s="3237">
        <v>3300</v>
      </c>
    </row>
    <row r="303" spans="1:7" s="3213" customFormat="1" ht="14.25" customHeight="1">
      <c r="A303" s="3224" t="s">
        <v>306</v>
      </c>
      <c r="B303" s="3224" t="s">
        <v>2953</v>
      </c>
      <c r="C303" s="3224">
        <v>5630</v>
      </c>
      <c r="D303" s="3224">
        <v>5590</v>
      </c>
      <c r="E303" s="3224">
        <v>6550</v>
      </c>
      <c r="F303" s="3224">
        <v>1010</v>
      </c>
      <c r="G303" s="3237">
        <v>3370</v>
      </c>
    </row>
    <row r="304" spans="1:7" s="3213" customFormat="1" ht="14.25" customHeight="1">
      <c r="A304" s="3224" t="s">
        <v>306</v>
      </c>
      <c r="B304" s="3224" t="s">
        <v>2960</v>
      </c>
      <c r="C304" s="3224">
        <v>5680</v>
      </c>
      <c r="D304" s="3224">
        <v>5620</v>
      </c>
      <c r="E304" s="3224">
        <v>6620</v>
      </c>
      <c r="F304" s="3224">
        <v>1050</v>
      </c>
      <c r="G304" s="3237">
        <v>3390</v>
      </c>
    </row>
    <row r="305" spans="1:7" s="3213" customFormat="1" ht="14.25" customHeight="1">
      <c r="A305" s="3224" t="s">
        <v>306</v>
      </c>
      <c r="B305" s="3224" t="s">
        <v>2966</v>
      </c>
      <c r="C305" s="3224">
        <v>5590</v>
      </c>
      <c r="D305" s="3224">
        <v>5530</v>
      </c>
      <c r="E305" s="3224">
        <v>6460</v>
      </c>
      <c r="F305" s="3224">
        <v>900</v>
      </c>
      <c r="G305" s="3237">
        <v>3340</v>
      </c>
    </row>
    <row r="306" spans="1:7" s="3213" customFormat="1" ht="14.25" customHeight="1">
      <c r="A306" s="3224" t="s">
        <v>306</v>
      </c>
      <c r="B306" s="3224" t="s">
        <v>3142</v>
      </c>
      <c r="C306" s="3224">
        <v>5560</v>
      </c>
      <c r="D306" s="3224">
        <v>5510</v>
      </c>
      <c r="E306" s="3224">
        <v>6440</v>
      </c>
      <c r="F306" s="3224">
        <v>900</v>
      </c>
      <c r="G306" s="3237">
        <v>3320</v>
      </c>
    </row>
    <row r="307" spans="1:7" s="3213" customFormat="1" ht="14.25" customHeight="1">
      <c r="A307" s="3224" t="s">
        <v>306</v>
      </c>
      <c r="B307" s="3224" t="s">
        <v>2978</v>
      </c>
      <c r="C307" s="3224">
        <v>5650</v>
      </c>
      <c r="D307" s="3224">
        <v>5600</v>
      </c>
      <c r="E307" s="3224">
        <v>6590</v>
      </c>
      <c r="F307" s="3224">
        <v>930</v>
      </c>
      <c r="G307" s="3237">
        <v>3380</v>
      </c>
    </row>
    <row r="308" spans="1:7" s="3213" customFormat="1" ht="14.25" customHeight="1">
      <c r="A308" s="3224" t="s">
        <v>306</v>
      </c>
      <c r="B308" s="3224" t="s">
        <v>3143</v>
      </c>
      <c r="C308" s="3224">
        <v>5620</v>
      </c>
      <c r="D308" s="3224">
        <v>5580</v>
      </c>
      <c r="E308" s="3224">
        <v>6540</v>
      </c>
      <c r="F308" s="3224">
        <v>910</v>
      </c>
      <c r="G308" s="3237">
        <v>3370</v>
      </c>
    </row>
    <row r="309" spans="1:7" s="3213" customFormat="1" ht="14.25" customHeight="1">
      <c r="A309" s="3224" t="s">
        <v>306</v>
      </c>
      <c r="B309" s="3224" t="s">
        <v>3144</v>
      </c>
      <c r="C309" s="3224">
        <v>5060</v>
      </c>
      <c r="D309" s="3224">
        <v>5020</v>
      </c>
      <c r="E309" s="3224">
        <v>6370</v>
      </c>
      <c r="F309" s="3224">
        <v>800</v>
      </c>
      <c r="G309" s="3237">
        <v>3020</v>
      </c>
    </row>
    <row r="310" spans="1:7" s="3213" customFormat="1" ht="14.25" customHeight="1">
      <c r="A310" s="3224" t="s">
        <v>306</v>
      </c>
      <c r="B310" s="3224" t="s">
        <v>2993</v>
      </c>
      <c r="C310" s="3224">
        <v>5150</v>
      </c>
      <c r="D310" s="3224">
        <v>5110</v>
      </c>
      <c r="E310" s="3224">
        <v>6500</v>
      </c>
      <c r="F310" s="3224">
        <v>880</v>
      </c>
      <c r="G310" s="3237">
        <v>3080</v>
      </c>
    </row>
    <row r="311" spans="1:7" s="3213" customFormat="1" ht="14.25" customHeight="1">
      <c r="A311" s="3224" t="s">
        <v>306</v>
      </c>
      <c r="B311" s="3224" t="s">
        <v>3145</v>
      </c>
      <c r="C311" s="3224">
        <v>4750</v>
      </c>
      <c r="D311" s="3224">
        <v>4710</v>
      </c>
      <c r="E311" s="3224">
        <v>5510</v>
      </c>
      <c r="F311" s="3224">
        <v>880</v>
      </c>
      <c r="G311" s="3237">
        <v>2840</v>
      </c>
    </row>
    <row r="312" spans="1:7" s="3213" customFormat="1" ht="14.25" customHeight="1">
      <c r="A312" s="3224" t="s">
        <v>306</v>
      </c>
      <c r="B312" s="3224" t="s">
        <v>3003</v>
      </c>
      <c r="C312" s="3224">
        <v>4690</v>
      </c>
      <c r="D312" s="3224">
        <v>4640</v>
      </c>
      <c r="E312" s="3224">
        <v>5420</v>
      </c>
      <c r="F312" s="3224">
        <v>800</v>
      </c>
      <c r="G312" s="3237">
        <v>2800</v>
      </c>
    </row>
    <row r="313" spans="1:7" s="3213" customFormat="1" ht="14.25" customHeight="1">
      <c r="A313" s="3224" t="s">
        <v>306</v>
      </c>
      <c r="B313" s="3224" t="s">
        <v>3008</v>
      </c>
      <c r="C313" s="3224">
        <v>4810</v>
      </c>
      <c r="D313" s="3224">
        <v>4760</v>
      </c>
      <c r="E313" s="3224">
        <v>5550</v>
      </c>
      <c r="F313" s="3224">
        <v>920</v>
      </c>
      <c r="G313" s="3237">
        <v>2870</v>
      </c>
    </row>
    <row r="314" spans="1:7" s="3213" customFormat="1" ht="14.25" customHeight="1">
      <c r="A314" s="3224" t="s">
        <v>306</v>
      </c>
      <c r="B314" s="3224" t="s">
        <v>3146</v>
      </c>
      <c r="C314" s="3224"/>
      <c r="D314" s="3224"/>
      <c r="E314" s="3224"/>
      <c r="F314" s="3224">
        <v>1020</v>
      </c>
      <c r="G314" s="3237"/>
    </row>
    <row r="315" spans="1:7" s="3213" customFormat="1" ht="14.25" customHeight="1">
      <c r="A315" s="3224" t="s">
        <v>306</v>
      </c>
      <c r="B315" s="3224" t="s">
        <v>3147</v>
      </c>
      <c r="C315" s="3224"/>
      <c r="D315" s="3224"/>
      <c r="E315" s="3224"/>
      <c r="F315" s="3224">
        <v>1050</v>
      </c>
      <c r="G315" s="3237"/>
    </row>
    <row r="316" spans="1:7" s="3213" customFormat="1" ht="14.25" customHeight="1">
      <c r="A316" s="3224" t="s">
        <v>306</v>
      </c>
      <c r="B316" s="3224" t="s">
        <v>3023</v>
      </c>
      <c r="C316" s="3224"/>
      <c r="D316" s="3224"/>
      <c r="E316" s="3224"/>
      <c r="F316" s="3224">
        <v>900</v>
      </c>
      <c r="G316" s="3237"/>
    </row>
    <row r="317" spans="1:7" s="3213" customFormat="1" ht="14.25" customHeight="1">
      <c r="A317" s="3224" t="s">
        <v>306</v>
      </c>
      <c r="B317" s="3224" t="s">
        <v>3148</v>
      </c>
      <c r="C317" s="3224"/>
      <c r="D317" s="3224"/>
      <c r="E317" s="3224"/>
      <c r="F317" s="3224">
        <v>920</v>
      </c>
      <c r="G317" s="3237"/>
    </row>
    <row r="318" spans="1:7" s="3213" customFormat="1" ht="14.25" customHeight="1">
      <c r="A318" s="3224" t="s">
        <v>306</v>
      </c>
      <c r="B318" s="3224" t="s">
        <v>3149</v>
      </c>
      <c r="C318" s="3224"/>
      <c r="D318" s="3224"/>
      <c r="E318" s="3224"/>
      <c r="F318" s="3224">
        <v>1080</v>
      </c>
      <c r="G318" s="3237"/>
    </row>
    <row r="319" spans="1:7" s="3213" customFormat="1" ht="14.25" customHeight="1">
      <c r="A319" s="3224" t="s">
        <v>306</v>
      </c>
      <c r="B319" s="3224" t="s">
        <v>3036</v>
      </c>
      <c r="C319" s="3224"/>
      <c r="D319" s="3224"/>
      <c r="E319" s="3224"/>
      <c r="F319" s="3224">
        <v>1020</v>
      </c>
      <c r="G319" s="3237"/>
    </row>
    <row r="320" spans="1:7" s="3213" customFormat="1" ht="14.25" customHeight="1">
      <c r="A320" s="3224" t="s">
        <v>306</v>
      </c>
      <c r="B320" s="3224" t="s">
        <v>3039</v>
      </c>
      <c r="C320" s="3224"/>
      <c r="D320" s="3224"/>
      <c r="E320" s="3224"/>
      <c r="F320" s="3224">
        <v>1050</v>
      </c>
      <c r="G320" s="3237"/>
    </row>
    <row r="321" spans="1:7" s="3213" customFormat="1" ht="14.25" customHeight="1">
      <c r="A321" s="3224" t="s">
        <v>306</v>
      </c>
      <c r="B321" s="3224" t="s">
        <v>3041</v>
      </c>
      <c r="C321" s="3224"/>
      <c r="D321" s="3224"/>
      <c r="E321" s="3224"/>
      <c r="F321" s="3224">
        <v>960</v>
      </c>
      <c r="G321" s="3237"/>
    </row>
    <row r="322" spans="1:7" s="3213" customFormat="1" ht="14.25" customHeight="1">
      <c r="A322" s="3224" t="s">
        <v>306</v>
      </c>
      <c r="B322" s="3224" t="s">
        <v>3043</v>
      </c>
      <c r="C322" s="3224"/>
      <c r="D322" s="3224"/>
      <c r="E322" s="3224"/>
      <c r="F322" s="3224">
        <v>960</v>
      </c>
      <c r="G322" s="3237"/>
    </row>
    <row r="323" spans="1:7" s="3213" customFormat="1" ht="14.25" customHeight="1">
      <c r="A323" s="3224" t="s">
        <v>306</v>
      </c>
      <c r="B323" s="3224" t="s">
        <v>3045</v>
      </c>
      <c r="C323" s="3224"/>
      <c r="D323" s="3224"/>
      <c r="E323" s="3224"/>
      <c r="F323" s="3224">
        <v>880</v>
      </c>
      <c r="G323" s="3237"/>
    </row>
    <row r="324" spans="1:7" s="3213" customFormat="1" ht="14.25" customHeight="1">
      <c r="A324" s="3224" t="s">
        <v>306</v>
      </c>
      <c r="B324" s="3224" t="s">
        <v>3047</v>
      </c>
      <c r="C324" s="3224"/>
      <c r="D324" s="3224"/>
      <c r="E324" s="3224"/>
      <c r="F324" s="3224">
        <v>930</v>
      </c>
      <c r="G324" s="3237"/>
    </row>
    <row r="325" spans="1:7" s="3213" customFormat="1" ht="14.25" customHeight="1">
      <c r="A325" s="3224" t="s">
        <v>306</v>
      </c>
      <c r="B325" s="3225" t="s">
        <v>3049</v>
      </c>
      <c r="C325" s="3224"/>
      <c r="D325" s="3224"/>
      <c r="E325" s="3224"/>
      <c r="F325" s="3224">
        <v>900</v>
      </c>
      <c r="G325" s="3237"/>
    </row>
    <row r="326" spans="1:7" s="3213" customFormat="1" ht="14.25" customHeight="1" thickBot="1">
      <c r="A326" s="3238" t="s">
        <v>306</v>
      </c>
      <c r="B326" s="3231" t="s">
        <v>3051</v>
      </c>
      <c r="C326" s="3231"/>
      <c r="D326" s="3231"/>
      <c r="E326" s="3231"/>
      <c r="F326" s="3231">
        <v>790</v>
      </c>
      <c r="G326" s="3239"/>
    </row>
    <row r="327" spans="1:7" s="3213" customFormat="1" ht="14.25" customHeight="1">
      <c r="A327" s="3229" t="s">
        <v>307</v>
      </c>
      <c r="B327" s="3220" t="s">
        <v>3150</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3151</v>
      </c>
      <c r="C329" s="3224">
        <v>2730</v>
      </c>
      <c r="D329" s="3224">
        <v>2690</v>
      </c>
      <c r="E329" s="3224">
        <v>3100</v>
      </c>
      <c r="F329" s="3224">
        <v>660</v>
      </c>
      <c r="G329" s="3224">
        <v>1610</v>
      </c>
    </row>
    <row r="330" spans="1:7" s="3213" customFormat="1" ht="14.25" customHeight="1">
      <c r="A330" s="3224" t="s">
        <v>307</v>
      </c>
      <c r="B330" s="3224" t="s">
        <v>3152</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2885</v>
      </c>
      <c r="C332" s="3224">
        <v>3520</v>
      </c>
      <c r="D332" s="3224">
        <v>3480</v>
      </c>
      <c r="E332" s="3224">
        <v>3830</v>
      </c>
      <c r="F332" s="3224">
        <v>720</v>
      </c>
      <c r="G332" s="3224">
        <v>2090</v>
      </c>
    </row>
    <row r="333" spans="1:7" s="3213" customFormat="1" ht="14.25" customHeight="1">
      <c r="A333" s="3224" t="s">
        <v>307</v>
      </c>
      <c r="B333" s="3224" t="s">
        <v>3153</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2895</v>
      </c>
      <c r="C336" s="3224">
        <v>3570</v>
      </c>
      <c r="D336" s="3224">
        <v>3530</v>
      </c>
      <c r="E336" s="3224">
        <v>3880</v>
      </c>
      <c r="F336" s="3224">
        <v>770</v>
      </c>
      <c r="G336" s="3224">
        <v>2110</v>
      </c>
    </row>
    <row r="337" spans="1:10" s="3213" customFormat="1" ht="14.25" customHeight="1">
      <c r="A337" s="3224" t="s">
        <v>307</v>
      </c>
      <c r="B337" s="3224" t="s">
        <v>3154</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3155</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3156</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2920</v>
      </c>
      <c r="C345" s="3224">
        <v>3190</v>
      </c>
      <c r="D345" s="3224">
        <v>3140</v>
      </c>
      <c r="E345" s="3224">
        <v>3450</v>
      </c>
      <c r="F345" s="3224">
        <v>720</v>
      </c>
      <c r="G345" s="3224">
        <v>1880</v>
      </c>
      <c r="J345" s="3213"/>
    </row>
    <row r="346" spans="1:10">
      <c r="A346" s="3224" t="s">
        <v>307</v>
      </c>
      <c r="B346" s="3224" t="s">
        <v>3157</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2929</v>
      </c>
      <c r="C348" s="3224">
        <v>4000</v>
      </c>
      <c r="D348" s="3224">
        <v>3950</v>
      </c>
      <c r="E348" s="3224">
        <v>4430</v>
      </c>
      <c r="F348" s="3224">
        <v>760</v>
      </c>
      <c r="G348" s="3224">
        <v>2360</v>
      </c>
      <c r="J348" s="3213"/>
    </row>
    <row r="349" spans="1:10">
      <c r="A349" s="3224" t="s">
        <v>307</v>
      </c>
      <c r="B349" s="3224" t="s">
        <v>2934</v>
      </c>
      <c r="C349" s="3224">
        <v>3820</v>
      </c>
      <c r="D349" s="3224">
        <v>3780</v>
      </c>
      <c r="E349" s="3224">
        <v>4170</v>
      </c>
      <c r="F349" s="3224">
        <v>710</v>
      </c>
      <c r="G349" s="3224">
        <v>2260</v>
      </c>
      <c r="J349" s="3213"/>
    </row>
    <row r="350" spans="1:10">
      <c r="A350" s="3224" t="s">
        <v>307</v>
      </c>
      <c r="B350" s="3224" t="s">
        <v>3158</v>
      </c>
      <c r="C350" s="3224">
        <v>3760</v>
      </c>
      <c r="D350" s="3224">
        <v>3730</v>
      </c>
      <c r="E350" s="3224">
        <v>4100</v>
      </c>
      <c r="F350" s="3224">
        <v>800</v>
      </c>
      <c r="G350" s="3224">
        <v>2230</v>
      </c>
      <c r="J350" s="3213"/>
    </row>
    <row r="351" spans="1:10">
      <c r="A351" s="3224" t="s">
        <v>307</v>
      </c>
      <c r="B351" s="3224" t="s">
        <v>2942</v>
      </c>
      <c r="C351" s="3224">
        <v>3610</v>
      </c>
      <c r="D351" s="3224">
        <v>3580</v>
      </c>
      <c r="E351" s="3224">
        <v>3930</v>
      </c>
      <c r="F351" s="3224">
        <v>700</v>
      </c>
      <c r="G351" s="3224">
        <v>2140</v>
      </c>
      <c r="J351" s="3213"/>
    </row>
    <row r="352" spans="1:10">
      <c r="A352" s="3224" t="s">
        <v>307</v>
      </c>
      <c r="B352" s="3224" t="s">
        <v>2947</v>
      </c>
      <c r="C352" s="3224">
        <v>3670</v>
      </c>
      <c r="D352" s="3224">
        <v>3630</v>
      </c>
      <c r="E352" s="3224">
        <v>4000</v>
      </c>
      <c r="F352" s="3224">
        <v>750</v>
      </c>
      <c r="G352" s="3224">
        <v>2180</v>
      </c>
    </row>
    <row r="353" spans="1:7" s="3217" customFormat="1">
      <c r="A353" s="3224" t="s">
        <v>307</v>
      </c>
      <c r="B353" s="3224" t="s">
        <v>3159</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2967</v>
      </c>
      <c r="C355" s="3224">
        <v>3650</v>
      </c>
      <c r="D355" s="3224">
        <v>3610</v>
      </c>
      <c r="E355" s="3224">
        <v>4200</v>
      </c>
      <c r="F355" s="3224">
        <v>640</v>
      </c>
      <c r="G355" s="3224">
        <v>2160</v>
      </c>
    </row>
    <row r="356" spans="1:7" s="3217" customFormat="1">
      <c r="A356" s="3224" t="s">
        <v>307</v>
      </c>
      <c r="B356" s="3224" t="s">
        <v>2974</v>
      </c>
      <c r="C356" s="3224">
        <v>3260</v>
      </c>
      <c r="D356" s="3224">
        <v>3230</v>
      </c>
      <c r="E356" s="3224">
        <v>3740</v>
      </c>
      <c r="F356" s="3224">
        <v>600</v>
      </c>
      <c r="G356" s="3224">
        <v>1930</v>
      </c>
    </row>
    <row r="357" spans="1:7" s="3217" customFormat="1" ht="12" thickBot="1">
      <c r="A357" s="3232" t="s">
        <v>307</v>
      </c>
      <c r="B357" s="3235" t="s">
        <v>3160</v>
      </c>
      <c r="C357" s="3235">
        <v>3690</v>
      </c>
      <c r="D357" s="3235">
        <v>3650</v>
      </c>
      <c r="E357" s="3235">
        <v>4020</v>
      </c>
      <c r="F357" s="3235">
        <v>700</v>
      </c>
      <c r="G357" s="3235">
        <v>2190</v>
      </c>
    </row>
    <row r="358" spans="1:7" s="3217" customFormat="1">
      <c r="A358" s="3229" t="s">
        <v>3161</v>
      </c>
      <c r="B358" s="3220" t="s">
        <v>3162</v>
      </c>
      <c r="C358" s="3220">
        <v>2080</v>
      </c>
      <c r="D358" s="3220">
        <v>2040</v>
      </c>
      <c r="E358" s="3220">
        <v>2010</v>
      </c>
      <c r="F358" s="3220">
        <v>530</v>
      </c>
      <c r="G358" s="3236">
        <v>1230</v>
      </c>
    </row>
    <row r="359" spans="1:7" s="3217" customFormat="1">
      <c r="A359" s="3224" t="s">
        <v>3161</v>
      </c>
      <c r="B359" s="3224" t="s">
        <v>3163</v>
      </c>
      <c r="C359" s="3224">
        <v>1850</v>
      </c>
      <c r="D359" s="3224">
        <v>1820</v>
      </c>
      <c r="E359" s="3224">
        <v>1780</v>
      </c>
      <c r="F359" s="3224">
        <v>520</v>
      </c>
      <c r="G359" s="3237">
        <v>1100</v>
      </c>
    </row>
    <row r="360" spans="1:7" s="3217" customFormat="1">
      <c r="A360" s="3224" t="s">
        <v>3161</v>
      </c>
      <c r="B360" s="3224" t="s">
        <v>3164</v>
      </c>
      <c r="C360" s="3224">
        <v>2020</v>
      </c>
      <c r="D360" s="3224">
        <v>1990</v>
      </c>
      <c r="E360" s="3224">
        <v>1950</v>
      </c>
      <c r="F360" s="3224">
        <v>500</v>
      </c>
      <c r="G360" s="3237">
        <v>1200</v>
      </c>
    </row>
    <row r="361" spans="1:7" s="3217" customFormat="1">
      <c r="A361" s="3224" t="s">
        <v>3161</v>
      </c>
      <c r="B361" s="3224" t="s">
        <v>153</v>
      </c>
      <c r="C361" s="3224">
        <v>2260</v>
      </c>
      <c r="D361" s="3224">
        <v>2220</v>
      </c>
      <c r="E361" s="3224">
        <v>2180</v>
      </c>
      <c r="F361" s="3224">
        <v>580</v>
      </c>
      <c r="G361" s="3237">
        <v>1340</v>
      </c>
    </row>
    <row r="362" spans="1:7" s="3217" customFormat="1">
      <c r="A362" s="3224" t="s">
        <v>3161</v>
      </c>
      <c r="B362" s="3224" t="s">
        <v>3165</v>
      </c>
      <c r="C362" s="3224">
        <v>2650</v>
      </c>
      <c r="D362" s="3224">
        <v>2610</v>
      </c>
      <c r="E362" s="3224">
        <v>2570</v>
      </c>
      <c r="F362" s="3224">
        <v>630</v>
      </c>
      <c r="G362" s="3237">
        <v>1570</v>
      </c>
    </row>
    <row r="363" spans="1:7" s="3217" customFormat="1">
      <c r="A363" s="3224" t="s">
        <v>3161</v>
      </c>
      <c r="B363" s="3224" t="s">
        <v>2886</v>
      </c>
      <c r="C363" s="3224">
        <v>2390</v>
      </c>
      <c r="D363" s="3224">
        <v>2360</v>
      </c>
      <c r="E363" s="3224">
        <v>2320</v>
      </c>
      <c r="F363" s="3224">
        <v>600</v>
      </c>
      <c r="G363" s="3237">
        <v>1420</v>
      </c>
    </row>
    <row r="364" spans="1:7" s="3217" customFormat="1">
      <c r="A364" s="3224" t="s">
        <v>3161</v>
      </c>
      <c r="B364" s="3224" t="s">
        <v>3166</v>
      </c>
      <c r="C364" s="3224">
        <v>2050</v>
      </c>
      <c r="D364" s="3224">
        <v>2030</v>
      </c>
      <c r="E364" s="3224">
        <v>1990</v>
      </c>
      <c r="F364" s="3224">
        <v>550</v>
      </c>
      <c r="G364" s="3237">
        <v>1220</v>
      </c>
    </row>
    <row r="365" spans="1:7" s="3217" customFormat="1">
      <c r="A365" s="3224" t="s">
        <v>3161</v>
      </c>
      <c r="B365" s="3224" t="s">
        <v>200</v>
      </c>
      <c r="C365" s="3224">
        <v>2140</v>
      </c>
      <c r="D365" s="3224">
        <v>2100</v>
      </c>
      <c r="E365" s="3224">
        <v>2060</v>
      </c>
      <c r="F365" s="3224">
        <v>540</v>
      </c>
      <c r="G365" s="3237">
        <v>1270</v>
      </c>
    </row>
    <row r="366" spans="1:7" s="3217" customFormat="1">
      <c r="A366" s="3224" t="s">
        <v>3161</v>
      </c>
      <c r="B366" s="3224" t="s">
        <v>2893</v>
      </c>
      <c r="C366" s="3224">
        <v>2410</v>
      </c>
      <c r="D366" s="3224">
        <v>2370</v>
      </c>
      <c r="E366" s="3224">
        <v>2330</v>
      </c>
      <c r="F366" s="3224">
        <v>570</v>
      </c>
      <c r="G366" s="3237">
        <v>1440</v>
      </c>
    </row>
    <row r="367" spans="1:7" s="3217" customFormat="1">
      <c r="A367" s="3224" t="s">
        <v>3161</v>
      </c>
      <c r="B367" s="3224" t="s">
        <v>3167</v>
      </c>
      <c r="C367" s="3224">
        <v>2300</v>
      </c>
      <c r="D367" s="3224">
        <v>2260</v>
      </c>
      <c r="E367" s="3224">
        <v>2220</v>
      </c>
      <c r="F367" s="3224">
        <v>560</v>
      </c>
      <c r="G367" s="3237">
        <v>1370</v>
      </c>
    </row>
    <row r="368" spans="1:7" s="3217" customFormat="1">
      <c r="A368" s="3224" t="s">
        <v>3161</v>
      </c>
      <c r="B368" s="3224" t="s">
        <v>3168</v>
      </c>
      <c r="C368" s="3224">
        <v>2430</v>
      </c>
      <c r="D368" s="3224">
        <v>2390</v>
      </c>
      <c r="E368" s="3224">
        <v>2350</v>
      </c>
      <c r="F368" s="3224">
        <v>570</v>
      </c>
      <c r="G368" s="3237">
        <v>1450</v>
      </c>
    </row>
    <row r="369" spans="1:7" s="3217" customFormat="1">
      <c r="A369" s="3224" t="s">
        <v>3161</v>
      </c>
      <c r="B369" s="3224" t="s">
        <v>214</v>
      </c>
      <c r="C369" s="3224">
        <v>2320</v>
      </c>
      <c r="D369" s="3224">
        <v>2290</v>
      </c>
      <c r="E369" s="3224">
        <v>2250</v>
      </c>
      <c r="F369" s="3224">
        <v>550</v>
      </c>
      <c r="G369" s="3237">
        <v>1380</v>
      </c>
    </row>
    <row r="370" spans="1:7" s="3217" customFormat="1">
      <c r="A370" s="3224" t="s">
        <v>3161</v>
      </c>
      <c r="B370" s="3224" t="s">
        <v>221</v>
      </c>
      <c r="C370" s="3224">
        <v>2190</v>
      </c>
      <c r="D370" s="3224">
        <v>2170</v>
      </c>
      <c r="E370" s="3224">
        <v>2130</v>
      </c>
      <c r="F370" s="3224">
        <v>530</v>
      </c>
      <c r="G370" s="3237">
        <v>1310</v>
      </c>
    </row>
    <row r="371" spans="1:7" s="3217" customFormat="1">
      <c r="A371" s="3224" t="s">
        <v>3161</v>
      </c>
      <c r="B371" s="3224" t="s">
        <v>229</v>
      </c>
      <c r="C371" s="3224">
        <v>2460</v>
      </c>
      <c r="D371" s="3224">
        <v>2420</v>
      </c>
      <c r="E371" s="3224">
        <v>2370</v>
      </c>
      <c r="F371" s="3224">
        <v>560</v>
      </c>
      <c r="G371" s="3237">
        <v>1470</v>
      </c>
    </row>
    <row r="372" spans="1:7" s="3217" customFormat="1">
      <c r="A372" s="3224" t="s">
        <v>3161</v>
      </c>
      <c r="B372" s="3224" t="s">
        <v>3169</v>
      </c>
      <c r="C372" s="3224">
        <v>2250</v>
      </c>
      <c r="D372" s="3224">
        <v>2210</v>
      </c>
      <c r="E372" s="3224">
        <v>2180</v>
      </c>
      <c r="F372" s="3224">
        <v>550</v>
      </c>
      <c r="G372" s="3237">
        <v>1340</v>
      </c>
    </row>
    <row r="373" spans="1:7" s="3217" customFormat="1">
      <c r="A373" s="3224" t="s">
        <v>3161</v>
      </c>
      <c r="B373" s="3224" t="s">
        <v>258</v>
      </c>
      <c r="C373" s="3224">
        <v>2210</v>
      </c>
      <c r="D373" s="3224">
        <v>2190</v>
      </c>
      <c r="E373" s="3224">
        <v>2150</v>
      </c>
      <c r="F373" s="3224">
        <v>530</v>
      </c>
      <c r="G373" s="3237">
        <v>1320</v>
      </c>
    </row>
    <row r="374" spans="1:7" s="3217" customFormat="1">
      <c r="A374" s="3224" t="s">
        <v>3161</v>
      </c>
      <c r="B374" s="3224" t="s">
        <v>266</v>
      </c>
      <c r="C374" s="3224">
        <v>2320</v>
      </c>
      <c r="D374" s="3224">
        <v>2280</v>
      </c>
      <c r="E374" s="3224">
        <v>2230</v>
      </c>
      <c r="F374" s="3224">
        <v>580</v>
      </c>
      <c r="G374" s="3237">
        <v>1380</v>
      </c>
    </row>
    <row r="375" spans="1:7" s="3217" customFormat="1">
      <c r="A375" s="3224" t="s">
        <v>3161</v>
      </c>
      <c r="B375" s="3224" t="s">
        <v>3170</v>
      </c>
      <c r="C375" s="3224">
        <v>2090</v>
      </c>
      <c r="D375" s="3224">
        <v>2050</v>
      </c>
      <c r="E375" s="3224">
        <v>2020</v>
      </c>
      <c r="F375" s="3224">
        <v>520</v>
      </c>
      <c r="G375" s="3237">
        <v>1240</v>
      </c>
    </row>
    <row r="376" spans="1:7" s="3217" customFormat="1">
      <c r="A376" s="3224" t="s">
        <v>3161</v>
      </c>
      <c r="B376" s="3224" t="s">
        <v>277</v>
      </c>
      <c r="C376" s="3224">
        <v>2010</v>
      </c>
      <c r="D376" s="3224">
        <v>1980</v>
      </c>
      <c r="E376" s="3224">
        <v>1940</v>
      </c>
      <c r="F376" s="3224">
        <v>540</v>
      </c>
      <c r="G376" s="3237">
        <v>1190</v>
      </c>
    </row>
    <row r="377" spans="1:7" s="3217" customFormat="1" ht="12" thickBot="1">
      <c r="A377" s="3232" t="s">
        <v>3161</v>
      </c>
      <c r="B377" s="3235" t="s">
        <v>2923</v>
      </c>
      <c r="C377" s="3235">
        <v>1930</v>
      </c>
      <c r="D377" s="3235">
        <v>1890</v>
      </c>
      <c r="E377" s="3235">
        <v>1860</v>
      </c>
      <c r="F377" s="3235">
        <v>530</v>
      </c>
      <c r="G377" s="3240">
        <v>1150</v>
      </c>
    </row>
    <row r="378" spans="1:7" s="3217" customFormat="1">
      <c r="A378" s="3241" t="s">
        <v>3171</v>
      </c>
      <c r="B378" s="3220" t="s">
        <v>3172</v>
      </c>
      <c r="C378" s="3220">
        <v>1520</v>
      </c>
      <c r="D378" s="3220">
        <v>1490</v>
      </c>
      <c r="E378" s="3220">
        <v>1460</v>
      </c>
      <c r="F378" s="3220">
        <v>460</v>
      </c>
      <c r="G378" s="3236">
        <v>940</v>
      </c>
    </row>
    <row r="379" spans="1:7" s="3217" customFormat="1">
      <c r="A379" s="3242" t="s">
        <v>3171</v>
      </c>
      <c r="B379" s="3224" t="s">
        <v>3173</v>
      </c>
      <c r="C379" s="3224">
        <v>1500</v>
      </c>
      <c r="D379" s="3224">
        <v>1470</v>
      </c>
      <c r="E379" s="3224">
        <v>1430</v>
      </c>
      <c r="F379" s="3224">
        <v>460</v>
      </c>
      <c r="G379" s="3237">
        <v>920</v>
      </c>
    </row>
    <row r="380" spans="1:7" s="3217" customFormat="1">
      <c r="A380" s="3242" t="s">
        <v>3171</v>
      </c>
      <c r="B380" s="3224" t="s">
        <v>3174</v>
      </c>
      <c r="C380" s="3224">
        <v>1620</v>
      </c>
      <c r="D380" s="3224">
        <v>1590</v>
      </c>
      <c r="E380" s="3224">
        <v>1560</v>
      </c>
      <c r="F380" s="3224">
        <v>480</v>
      </c>
      <c r="G380" s="3237">
        <v>1000</v>
      </c>
    </row>
    <row r="381" spans="1:7" s="3217" customFormat="1">
      <c r="A381" s="3242" t="s">
        <v>3171</v>
      </c>
      <c r="B381" s="3224" t="s">
        <v>3175</v>
      </c>
      <c r="C381" s="3224">
        <v>1460</v>
      </c>
      <c r="D381" s="3224">
        <v>1430</v>
      </c>
      <c r="E381" s="3224">
        <v>1390</v>
      </c>
      <c r="F381" s="3224">
        <v>450</v>
      </c>
      <c r="G381" s="3237">
        <v>900</v>
      </c>
    </row>
    <row r="382" spans="1:7" s="3217" customFormat="1">
      <c r="A382" s="3242" t="s">
        <v>3171</v>
      </c>
      <c r="B382" s="3224" t="s">
        <v>3176</v>
      </c>
      <c r="C382" s="3224">
        <v>1310</v>
      </c>
      <c r="D382" s="3224">
        <v>1280</v>
      </c>
      <c r="E382" s="3224">
        <v>1250</v>
      </c>
      <c r="F382" s="3224">
        <v>440</v>
      </c>
      <c r="G382" s="3237">
        <v>800</v>
      </c>
    </row>
    <row r="383" spans="1:7" s="3217" customFormat="1">
      <c r="A383" s="3242" t="s">
        <v>3171</v>
      </c>
      <c r="B383" s="3224" t="s">
        <v>3177</v>
      </c>
      <c r="C383" s="3224">
        <v>1260</v>
      </c>
      <c r="D383" s="3224">
        <v>1230</v>
      </c>
      <c r="E383" s="3224">
        <v>1200</v>
      </c>
      <c r="F383" s="3224">
        <v>420</v>
      </c>
      <c r="G383" s="3237">
        <v>770</v>
      </c>
    </row>
    <row r="384" spans="1:7" s="3217" customFormat="1" ht="12" thickBot="1">
      <c r="A384" s="3243" t="s">
        <v>3171</v>
      </c>
      <c r="B384" s="3231" t="s">
        <v>3178</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51" t="s">
        <v>3179</v>
      </c>
      <c r="B1" s="3851"/>
    </row>
    <row r="2" spans="1:7" ht="14.25" thickBot="1">
      <c r="A2" s="3246"/>
      <c r="B2" s="3246"/>
    </row>
    <row r="3" spans="1:7" ht="14.25" thickBot="1">
      <c r="A3" s="3246"/>
      <c r="B3" s="3246"/>
      <c r="C3" s="3247" t="s">
        <v>2807</v>
      </c>
      <c r="D3" s="3247" t="s">
        <v>2865</v>
      </c>
      <c r="E3" s="3247" t="s">
        <v>2809</v>
      </c>
      <c r="F3" s="3247" t="s">
        <v>2866</v>
      </c>
      <c r="G3" s="3247" t="s">
        <v>2627</v>
      </c>
    </row>
    <row r="4" spans="1:7" ht="14.25" thickBot="1">
      <c r="A4" s="3248" t="s">
        <v>2864</v>
      </c>
      <c r="B4" s="3249" t="s">
        <v>2870</v>
      </c>
      <c r="C4" s="3247"/>
      <c r="D4" s="3247"/>
      <c r="E4" s="3247"/>
      <c r="F4" s="3247"/>
      <c r="G4" s="3247"/>
    </row>
    <row r="5" spans="1:7">
      <c r="A5" s="3250" t="s">
        <v>2838</v>
      </c>
      <c r="B5" s="3251" t="s">
        <v>2852</v>
      </c>
      <c r="C5" s="3252">
        <v>9.8000000000000004E-2</v>
      </c>
      <c r="D5" s="3252">
        <v>8.6999999999999994E-2</v>
      </c>
      <c r="E5" s="3252">
        <v>8.6999999999999994E-2</v>
      </c>
      <c r="F5" s="3252">
        <v>9.8000000000000004E-2</v>
      </c>
      <c r="G5" s="3253">
        <v>9.5000000000000001E-2</v>
      </c>
    </row>
    <row r="6" spans="1:7">
      <c r="A6" s="3254" t="s">
        <v>144</v>
      </c>
      <c r="B6" s="3255" t="s">
        <v>2867</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2853</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2903</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2921</v>
      </c>
      <c r="C29" s="3264"/>
      <c r="D29" s="3260">
        <v>5.1999999999999998E-2</v>
      </c>
      <c r="E29" s="3260">
        <v>7.0000000000000007E-2</v>
      </c>
      <c r="F29" s="3264"/>
      <c r="G29" s="3262">
        <v>7.0999999999999994E-2</v>
      </c>
    </row>
    <row r="30" spans="1:7">
      <c r="A30" s="3265" t="s">
        <v>296</v>
      </c>
      <c r="B30" s="3251" t="s">
        <v>2854</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2840</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2924</v>
      </c>
      <c r="C50" s="3256">
        <v>9.8000000000000004E-2</v>
      </c>
      <c r="D50" s="3256">
        <v>7.2999999999999995E-2</v>
      </c>
      <c r="E50" s="3256">
        <v>7.0999999999999994E-2</v>
      </c>
      <c r="F50" s="3267"/>
      <c r="G50" s="3257">
        <v>7.2999999999999995E-2</v>
      </c>
    </row>
    <row r="51" spans="1:7">
      <c r="A51" s="3266" t="s">
        <v>296</v>
      </c>
      <c r="B51" s="3255" t="s">
        <v>2926</v>
      </c>
      <c r="C51" s="3256">
        <v>9.9000000000000005E-2</v>
      </c>
      <c r="D51" s="3256">
        <v>8.5000000000000006E-2</v>
      </c>
      <c r="E51" s="3256">
        <v>6.3E-2</v>
      </c>
      <c r="F51" s="3267"/>
      <c r="G51" s="3257">
        <v>9.6000000000000002E-2</v>
      </c>
    </row>
    <row r="52" spans="1:7">
      <c r="A52" s="3266" t="s">
        <v>296</v>
      </c>
      <c r="B52" s="3255" t="s">
        <v>2930</v>
      </c>
      <c r="C52" s="3256">
        <v>7.3999999999999996E-2</v>
      </c>
      <c r="D52" s="3256">
        <v>9.6000000000000002E-2</v>
      </c>
      <c r="E52" s="3256">
        <v>0.05</v>
      </c>
      <c r="F52" s="3267"/>
      <c r="G52" s="3257">
        <v>9.8000000000000004E-2</v>
      </c>
    </row>
    <row r="53" spans="1:7">
      <c r="A53" s="3266" t="s">
        <v>296</v>
      </c>
      <c r="B53" s="3255" t="s">
        <v>2935</v>
      </c>
      <c r="C53" s="3256">
        <v>8.5999999999999993E-2</v>
      </c>
      <c r="D53" s="3267"/>
      <c r="E53" s="3256">
        <v>9.1999999999999998E-2</v>
      </c>
      <c r="F53" s="3267"/>
      <c r="G53" s="3268"/>
    </row>
    <row r="54" spans="1:7" ht="14.25" thickBot="1">
      <c r="A54" s="3269" t="s">
        <v>296</v>
      </c>
      <c r="B54" s="3259" t="s">
        <v>2938</v>
      </c>
      <c r="C54" s="3260">
        <v>9.6000000000000002E-2</v>
      </c>
      <c r="D54" s="3261"/>
      <c r="E54" s="3270"/>
      <c r="F54" s="3261"/>
      <c r="G54" s="3271"/>
    </row>
    <row r="55" spans="1:7">
      <c r="A55" s="3265" t="s">
        <v>110</v>
      </c>
      <c r="B55" s="3251" t="s">
        <v>2855</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2936</v>
      </c>
      <c r="C78" s="3256">
        <v>0.1</v>
      </c>
      <c r="D78" s="3256">
        <v>8.5000000000000006E-2</v>
      </c>
      <c r="E78" s="3256">
        <v>9.6000000000000002E-2</v>
      </c>
      <c r="F78" s="3267"/>
      <c r="G78" s="3257">
        <v>9.6000000000000002E-2</v>
      </c>
    </row>
    <row r="79" spans="1:7">
      <c r="A79" s="3266" t="s">
        <v>110</v>
      </c>
      <c r="B79" s="3255" t="s">
        <v>2939</v>
      </c>
      <c r="C79" s="3256">
        <v>0.05</v>
      </c>
      <c r="D79" s="3256">
        <v>9.6000000000000002E-2</v>
      </c>
      <c r="E79" s="3256">
        <v>9.5000000000000001E-2</v>
      </c>
      <c r="F79" s="3267"/>
      <c r="G79" s="3257">
        <v>9.8000000000000004E-2</v>
      </c>
    </row>
    <row r="80" spans="1:7">
      <c r="A80" s="3266" t="s">
        <v>110</v>
      </c>
      <c r="B80" s="3255" t="s">
        <v>2943</v>
      </c>
      <c r="C80" s="3256">
        <v>8.5999999999999993E-2</v>
      </c>
      <c r="D80" s="3272"/>
      <c r="E80" s="3256">
        <v>0.1</v>
      </c>
      <c r="F80" s="3267"/>
      <c r="G80" s="3268"/>
    </row>
    <row r="81" spans="1:7">
      <c r="A81" s="3266" t="s">
        <v>110</v>
      </c>
      <c r="B81" s="3255" t="s">
        <v>2948</v>
      </c>
      <c r="C81" s="3256">
        <v>9.6000000000000002E-2</v>
      </c>
      <c r="D81" s="3267"/>
      <c r="E81" s="3256">
        <v>9.8000000000000004E-2</v>
      </c>
      <c r="F81" s="3267"/>
      <c r="G81" s="3268"/>
    </row>
    <row r="82" spans="1:7">
      <c r="A82" s="3266" t="s">
        <v>110</v>
      </c>
      <c r="B82" s="3255" t="s">
        <v>2955</v>
      </c>
      <c r="C82" s="3272"/>
      <c r="D82" s="3267"/>
      <c r="E82" s="3256">
        <v>7.6999999999999999E-2</v>
      </c>
      <c r="F82" s="3267"/>
      <c r="G82" s="3268"/>
    </row>
    <row r="83" spans="1:7">
      <c r="A83" s="3266" t="s">
        <v>110</v>
      </c>
      <c r="B83" s="3255" t="s">
        <v>2961</v>
      </c>
      <c r="C83" s="3267"/>
      <c r="D83" s="3267"/>
      <c r="E83" s="3267"/>
      <c r="F83" s="3256">
        <v>0.1</v>
      </c>
      <c r="G83" s="3273"/>
    </row>
    <row r="84" spans="1:7">
      <c r="A84" s="3266" t="s">
        <v>110</v>
      </c>
      <c r="B84" s="3255" t="s">
        <v>2968</v>
      </c>
      <c r="C84" s="3267"/>
      <c r="D84" s="3267"/>
      <c r="E84" s="3267"/>
      <c r="F84" s="3256">
        <v>0.1</v>
      </c>
      <c r="G84" s="3273"/>
    </row>
    <row r="85" spans="1:7">
      <c r="A85" s="3266" t="s">
        <v>110</v>
      </c>
      <c r="B85" s="3255" t="s">
        <v>2975</v>
      </c>
      <c r="C85" s="3267"/>
      <c r="D85" s="3267"/>
      <c r="E85" s="3267"/>
      <c r="F85" s="3256">
        <v>0.1</v>
      </c>
      <c r="G85" s="3273"/>
    </row>
    <row r="86" spans="1:7" ht="14.25" thickBot="1">
      <c r="A86" s="3269" t="s">
        <v>110</v>
      </c>
      <c r="B86" s="3259" t="s">
        <v>2980</v>
      </c>
      <c r="C86" s="3260">
        <v>9.8000000000000004E-2</v>
      </c>
      <c r="D86" s="3260">
        <v>9.8000000000000004E-2</v>
      </c>
      <c r="E86" s="3260">
        <v>9.6000000000000002E-2</v>
      </c>
      <c r="F86" s="3270"/>
      <c r="G86" s="3262">
        <v>0.1</v>
      </c>
    </row>
    <row r="87" spans="1:7">
      <c r="A87" s="3265" t="s">
        <v>303</v>
      </c>
      <c r="B87" s="3251" t="s">
        <v>2856</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2949</v>
      </c>
      <c r="C113" s="3256">
        <v>0.1</v>
      </c>
      <c r="D113" s="3256">
        <v>0.1</v>
      </c>
      <c r="E113" s="3267"/>
      <c r="F113" s="3267"/>
      <c r="G113" s="3257">
        <v>0.1</v>
      </c>
    </row>
    <row r="114" spans="1:7">
      <c r="A114" s="3266" t="s">
        <v>303</v>
      </c>
      <c r="B114" s="3255" t="s">
        <v>2956</v>
      </c>
      <c r="C114" s="3256">
        <v>9.7000000000000003E-2</v>
      </c>
      <c r="D114" s="3256">
        <v>9.7000000000000003E-2</v>
      </c>
      <c r="E114" s="3267"/>
      <c r="F114" s="3267"/>
      <c r="G114" s="3257">
        <v>9.9000000000000005E-2</v>
      </c>
    </row>
    <row r="115" spans="1:7">
      <c r="A115" s="3266" t="s">
        <v>303</v>
      </c>
      <c r="B115" s="3255" t="s">
        <v>2962</v>
      </c>
      <c r="C115" s="3256">
        <v>0.1</v>
      </c>
      <c r="D115" s="3256">
        <v>0.1</v>
      </c>
      <c r="E115" s="3267"/>
      <c r="F115" s="3267"/>
      <c r="G115" s="3257">
        <v>0.1</v>
      </c>
    </row>
    <row r="116" spans="1:7">
      <c r="A116" s="3266" t="s">
        <v>303</v>
      </c>
      <c r="B116" s="3255" t="s">
        <v>2969</v>
      </c>
      <c r="C116" s="3256">
        <v>0.1</v>
      </c>
      <c r="D116" s="3256">
        <v>0.1</v>
      </c>
      <c r="E116" s="3267"/>
      <c r="F116" s="3267"/>
      <c r="G116" s="3257">
        <v>0.1</v>
      </c>
    </row>
    <row r="117" spans="1:7">
      <c r="A117" s="3266" t="s">
        <v>303</v>
      </c>
      <c r="B117" s="3255" t="s">
        <v>2976</v>
      </c>
      <c r="C117" s="3256">
        <v>9.7000000000000003E-2</v>
      </c>
      <c r="D117" s="3256">
        <v>9.7000000000000003E-2</v>
      </c>
      <c r="E117" s="3267"/>
      <c r="F117" s="3267"/>
      <c r="G117" s="3257">
        <v>9.7000000000000003E-2</v>
      </c>
    </row>
    <row r="118" spans="1:7">
      <c r="A118" s="3266" t="s">
        <v>303</v>
      </c>
      <c r="B118" s="3255" t="s">
        <v>2981</v>
      </c>
      <c r="C118" s="3256">
        <v>0.1</v>
      </c>
      <c r="D118" s="3256">
        <v>0.1</v>
      </c>
      <c r="E118" s="3267"/>
      <c r="F118" s="3267"/>
      <c r="G118" s="3257">
        <v>0.1</v>
      </c>
    </row>
    <row r="119" spans="1:7">
      <c r="A119" s="3266" t="s">
        <v>303</v>
      </c>
      <c r="B119" s="3255" t="s">
        <v>2985</v>
      </c>
      <c r="C119" s="3256">
        <v>5.0999999999999997E-2</v>
      </c>
      <c r="D119" s="3256">
        <v>5.1999999999999998E-2</v>
      </c>
      <c r="E119" s="3267"/>
      <c r="F119" s="3272"/>
      <c r="G119" s="3257">
        <v>0.06</v>
      </c>
    </row>
    <row r="120" spans="1:7">
      <c r="A120" s="3266" t="s">
        <v>303</v>
      </c>
      <c r="B120" s="3255" t="s">
        <v>2989</v>
      </c>
      <c r="C120" s="3267"/>
      <c r="D120" s="3267"/>
      <c r="E120" s="3267"/>
      <c r="F120" s="3256">
        <v>0.1</v>
      </c>
      <c r="G120" s="3273"/>
    </row>
    <row r="121" spans="1:7">
      <c r="A121" s="3266" t="s">
        <v>303</v>
      </c>
      <c r="B121" s="3255" t="s">
        <v>2994</v>
      </c>
      <c r="C121" s="3267"/>
      <c r="D121" s="3267"/>
      <c r="E121" s="3267"/>
      <c r="F121" s="3256">
        <v>0.1</v>
      </c>
      <c r="G121" s="3273"/>
    </row>
    <row r="122" spans="1:7">
      <c r="A122" s="3266" t="s">
        <v>303</v>
      </c>
      <c r="B122" s="3255" t="s">
        <v>2999</v>
      </c>
      <c r="C122" s="3256">
        <v>0.1</v>
      </c>
      <c r="D122" s="3256">
        <v>0.1</v>
      </c>
      <c r="E122" s="3256">
        <v>9.8000000000000004E-2</v>
      </c>
      <c r="F122" s="3256">
        <v>0.1</v>
      </c>
      <c r="G122" s="3257">
        <v>0.1</v>
      </c>
    </row>
    <row r="123" spans="1:7">
      <c r="A123" s="3266" t="s">
        <v>303</v>
      </c>
      <c r="B123" s="3255" t="s">
        <v>3004</v>
      </c>
      <c r="C123" s="3256">
        <v>0.1</v>
      </c>
      <c r="D123" s="3256">
        <v>0.1</v>
      </c>
      <c r="E123" s="3256">
        <v>9.8000000000000004E-2</v>
      </c>
      <c r="F123" s="3256">
        <v>0.1</v>
      </c>
      <c r="G123" s="3257">
        <v>0.1</v>
      </c>
    </row>
    <row r="124" spans="1:7">
      <c r="A124" s="3266" t="s">
        <v>303</v>
      </c>
      <c r="B124" s="3255" t="s">
        <v>3009</v>
      </c>
      <c r="C124" s="3256">
        <v>0.1</v>
      </c>
      <c r="D124" s="3256">
        <v>0.1</v>
      </c>
      <c r="E124" s="3256">
        <v>9.8000000000000004E-2</v>
      </c>
      <c r="F124" s="3272"/>
      <c r="G124" s="3257">
        <v>0.1</v>
      </c>
    </row>
    <row r="125" spans="1:7">
      <c r="A125" s="3266" t="s">
        <v>303</v>
      </c>
      <c r="B125" s="3255" t="s">
        <v>3014</v>
      </c>
      <c r="C125" s="3256">
        <v>9.8000000000000004E-2</v>
      </c>
      <c r="D125" s="3256">
        <v>9.8000000000000004E-2</v>
      </c>
      <c r="E125" s="3256">
        <v>9.6000000000000002E-2</v>
      </c>
      <c r="F125" s="3272"/>
      <c r="G125" s="3257">
        <v>0.1</v>
      </c>
    </row>
    <row r="126" spans="1:7" ht="14.25" thickBot="1">
      <c r="A126" s="3269" t="s">
        <v>303</v>
      </c>
      <c r="B126" s="3259" t="s">
        <v>3180</v>
      </c>
      <c r="C126" s="3260">
        <v>0.1</v>
      </c>
      <c r="D126" s="3260">
        <v>0.1</v>
      </c>
      <c r="E126" s="3260">
        <v>9.8000000000000004E-2</v>
      </c>
      <c r="F126" s="3260">
        <v>0.1</v>
      </c>
      <c r="G126" s="3262">
        <v>0.1</v>
      </c>
    </row>
    <row r="127" spans="1:7">
      <c r="A127" s="3265" t="s">
        <v>29</v>
      </c>
      <c r="B127" s="3251" t="s">
        <v>2857</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2927</v>
      </c>
      <c r="C148" s="3256">
        <v>0.13</v>
      </c>
      <c r="D148" s="3256">
        <v>0.13</v>
      </c>
      <c r="E148" s="3256">
        <v>0.13</v>
      </c>
      <c r="F148" s="3267"/>
      <c r="G148" s="3257">
        <v>0.13</v>
      </c>
    </row>
    <row r="149" spans="1:7">
      <c r="A149" s="3266" t="s">
        <v>29</v>
      </c>
      <c r="B149" s="3255" t="s">
        <v>2931</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2950</v>
      </c>
      <c r="C153" s="3256">
        <v>0.13</v>
      </c>
      <c r="D153" s="3256">
        <v>0.13</v>
      </c>
      <c r="E153" s="3256">
        <v>0.13</v>
      </c>
      <c r="F153" s="3256">
        <v>0.13</v>
      </c>
      <c r="G153" s="3257">
        <v>0.13</v>
      </c>
    </row>
    <row r="154" spans="1:7">
      <c r="A154" s="3266" t="s">
        <v>29</v>
      </c>
      <c r="B154" s="3255" t="s">
        <v>2957</v>
      </c>
      <c r="C154" s="3256">
        <v>0.121</v>
      </c>
      <c r="D154" s="3256">
        <v>0.121</v>
      </c>
      <c r="E154" s="3256">
        <v>0.105</v>
      </c>
      <c r="F154" s="3256">
        <v>0.121</v>
      </c>
      <c r="G154" s="3257">
        <v>0.123</v>
      </c>
    </row>
    <row r="155" spans="1:7">
      <c r="A155" s="3266" t="s">
        <v>29</v>
      </c>
      <c r="B155" s="3255" t="s">
        <v>2963</v>
      </c>
      <c r="C155" s="3256">
        <v>0.1</v>
      </c>
      <c r="D155" s="3256">
        <v>0.1</v>
      </c>
      <c r="E155" s="3256">
        <v>0.1</v>
      </c>
      <c r="F155" s="3256">
        <v>0.1</v>
      </c>
      <c r="G155" s="3257">
        <v>0.1</v>
      </c>
    </row>
    <row r="156" spans="1:7">
      <c r="A156" s="3266" t="s">
        <v>29</v>
      </c>
      <c r="B156" s="3255" t="s">
        <v>2970</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2990</v>
      </c>
      <c r="C160" s="3256">
        <v>0.13</v>
      </c>
      <c r="D160" s="3256">
        <v>0.13</v>
      </c>
      <c r="E160" s="3256">
        <v>0.124</v>
      </c>
      <c r="F160" s="3256">
        <v>0.126</v>
      </c>
      <c r="G160" s="3257">
        <v>0.13</v>
      </c>
    </row>
    <row r="161" spans="1:7">
      <c r="A161" s="3266" t="s">
        <v>29</v>
      </c>
      <c r="B161" s="3255" t="s">
        <v>2995</v>
      </c>
      <c r="C161" s="3256">
        <v>0.13</v>
      </c>
      <c r="D161" s="3256">
        <v>0.13</v>
      </c>
      <c r="E161" s="3256">
        <v>0.124</v>
      </c>
      <c r="F161" s="3256">
        <v>0.127</v>
      </c>
      <c r="G161" s="3257">
        <v>0.13</v>
      </c>
    </row>
    <row r="162" spans="1:7">
      <c r="A162" s="3266" t="s">
        <v>29</v>
      </c>
      <c r="B162" s="3255" t="s">
        <v>3000</v>
      </c>
      <c r="C162" s="3256">
        <v>0.1</v>
      </c>
      <c r="D162" s="3256">
        <v>0.1</v>
      </c>
      <c r="E162" s="3256">
        <v>0.1</v>
      </c>
      <c r="F162" s="3256">
        <v>0.121</v>
      </c>
      <c r="G162" s="3257">
        <v>0.105</v>
      </c>
    </row>
    <row r="163" spans="1:7">
      <c r="A163" s="3266" t="s">
        <v>29</v>
      </c>
      <c r="B163" s="3255" t="s">
        <v>3005</v>
      </c>
      <c r="C163" s="3256">
        <v>0.1</v>
      </c>
      <c r="D163" s="3256">
        <v>0.1</v>
      </c>
      <c r="E163" s="3256">
        <v>0.1</v>
      </c>
      <c r="F163" s="3256">
        <v>0.1</v>
      </c>
      <c r="G163" s="3257">
        <v>0.1</v>
      </c>
    </row>
    <row r="164" spans="1:7">
      <c r="A164" s="3266" t="s">
        <v>29</v>
      </c>
      <c r="B164" s="3255" t="s">
        <v>3010</v>
      </c>
      <c r="C164" s="3272"/>
      <c r="D164" s="3272"/>
      <c r="E164" s="3272"/>
      <c r="F164" s="3256">
        <v>0.1</v>
      </c>
      <c r="G164" s="3268"/>
    </row>
    <row r="165" spans="1:7">
      <c r="A165" s="3266" t="s">
        <v>29</v>
      </c>
      <c r="B165" s="3255" t="s">
        <v>3181</v>
      </c>
      <c r="C165" s="3256">
        <v>0.126</v>
      </c>
      <c r="D165" s="3256">
        <v>0.126</v>
      </c>
      <c r="E165" s="3256">
        <v>0.11899999999999999</v>
      </c>
      <c r="F165" s="3256">
        <v>0.13</v>
      </c>
      <c r="G165" s="3257">
        <v>0.128</v>
      </c>
    </row>
    <row r="166" spans="1:7">
      <c r="A166" s="3266" t="s">
        <v>29</v>
      </c>
      <c r="B166" s="3255" t="s">
        <v>3020</v>
      </c>
      <c r="C166" s="3256">
        <v>0.129</v>
      </c>
      <c r="D166" s="3256">
        <v>0.129</v>
      </c>
      <c r="E166" s="3256">
        <v>0.123</v>
      </c>
      <c r="F166" s="3256">
        <v>0.128</v>
      </c>
      <c r="G166" s="3257">
        <v>0.13</v>
      </c>
    </row>
    <row r="167" spans="1:7">
      <c r="A167" s="3266" t="s">
        <v>29</v>
      </c>
      <c r="B167" s="3255" t="s">
        <v>3024</v>
      </c>
      <c r="C167" s="3256">
        <v>0.125</v>
      </c>
      <c r="D167" s="3256">
        <v>0.125</v>
      </c>
      <c r="E167" s="3256">
        <v>0.11700000000000001</v>
      </c>
      <c r="F167" s="3256">
        <v>0.13</v>
      </c>
      <c r="G167" s="3257">
        <v>0.126</v>
      </c>
    </row>
    <row r="168" spans="1:7">
      <c r="A168" s="3266" t="s">
        <v>29</v>
      </c>
      <c r="B168" s="3255" t="s">
        <v>3029</v>
      </c>
      <c r="C168" s="3256">
        <v>0.128</v>
      </c>
      <c r="D168" s="3256">
        <v>0.128</v>
      </c>
      <c r="E168" s="3256">
        <v>0.123</v>
      </c>
      <c r="F168" s="3267"/>
      <c r="G168" s="3257">
        <v>0.13</v>
      </c>
    </row>
    <row r="169" spans="1:7">
      <c r="A169" s="3266" t="s">
        <v>29</v>
      </c>
      <c r="B169" s="3255" t="s">
        <v>3182</v>
      </c>
      <c r="C169" s="3272"/>
      <c r="D169" s="3272"/>
      <c r="E169" s="3272"/>
      <c r="F169" s="3256">
        <v>0.05</v>
      </c>
      <c r="G169" s="3268"/>
    </row>
    <row r="170" spans="1:7">
      <c r="A170" s="3266" t="s">
        <v>29</v>
      </c>
      <c r="B170" s="3255" t="s">
        <v>3183</v>
      </c>
      <c r="C170" s="3272"/>
      <c r="D170" s="3272"/>
      <c r="E170" s="3272"/>
      <c r="F170" s="3256">
        <v>0.05</v>
      </c>
      <c r="G170" s="3268"/>
    </row>
    <row r="171" spans="1:7">
      <c r="A171" s="3266" t="s">
        <v>29</v>
      </c>
      <c r="B171" s="3255" t="s">
        <v>3184</v>
      </c>
      <c r="C171" s="3272"/>
      <c r="D171" s="3272"/>
      <c r="E171" s="3272"/>
      <c r="F171" s="3256">
        <v>0.05</v>
      </c>
      <c r="G171" s="3273"/>
    </row>
    <row r="172" spans="1:7">
      <c r="A172" s="3266" t="s">
        <v>29</v>
      </c>
      <c r="B172" s="3255" t="s">
        <v>3185</v>
      </c>
      <c r="C172" s="3272"/>
      <c r="D172" s="3272"/>
      <c r="E172" s="3272"/>
      <c r="F172" s="3256">
        <v>0.05</v>
      </c>
      <c r="G172" s="3273"/>
    </row>
    <row r="173" spans="1:7">
      <c r="A173" s="3266" t="s">
        <v>29</v>
      </c>
      <c r="B173" s="3255" t="s">
        <v>3186</v>
      </c>
      <c r="C173" s="3272"/>
      <c r="D173" s="3272"/>
      <c r="E173" s="3272"/>
      <c r="F173" s="3256">
        <v>0.05</v>
      </c>
      <c r="G173" s="3268"/>
    </row>
    <row r="174" spans="1:7">
      <c r="A174" s="3266" t="s">
        <v>29</v>
      </c>
      <c r="B174" s="3255" t="s">
        <v>3187</v>
      </c>
      <c r="C174" s="3272"/>
      <c r="D174" s="3272"/>
      <c r="E174" s="3272"/>
      <c r="F174" s="3256">
        <v>0.05</v>
      </c>
      <c r="G174" s="3268"/>
    </row>
    <row r="175" spans="1:7">
      <c r="A175" s="3266" t="s">
        <v>29</v>
      </c>
      <c r="B175" s="3255" t="s">
        <v>3188</v>
      </c>
      <c r="C175" s="3272"/>
      <c r="D175" s="3272"/>
      <c r="E175" s="3272"/>
      <c r="F175" s="3256">
        <v>0.05</v>
      </c>
      <c r="G175" s="3268"/>
    </row>
    <row r="176" spans="1:7">
      <c r="A176" s="3266" t="s">
        <v>29</v>
      </c>
      <c r="B176" s="3255" t="s">
        <v>3189</v>
      </c>
      <c r="C176" s="3272"/>
      <c r="D176" s="3272"/>
      <c r="E176" s="3272"/>
      <c r="F176" s="3256">
        <v>0.05</v>
      </c>
      <c r="G176" s="3268"/>
    </row>
    <row r="177" spans="1:7">
      <c r="A177" s="3266" t="s">
        <v>29</v>
      </c>
      <c r="B177" s="3255" t="s">
        <v>3190</v>
      </c>
      <c r="C177" s="3267"/>
      <c r="D177" s="3267"/>
      <c r="E177" s="3267"/>
      <c r="F177" s="3256">
        <v>0.05</v>
      </c>
      <c r="G177" s="3273"/>
    </row>
    <row r="178" spans="1:7">
      <c r="A178" s="3266" t="s">
        <v>29</v>
      </c>
      <c r="B178" s="3255" t="s">
        <v>3191</v>
      </c>
      <c r="C178" s="3267"/>
      <c r="D178" s="3267"/>
      <c r="E178" s="3267"/>
      <c r="F178" s="3256">
        <v>0.05</v>
      </c>
      <c r="G178" s="3273"/>
    </row>
    <row r="179" spans="1:7">
      <c r="A179" s="3266" t="s">
        <v>29</v>
      </c>
      <c r="B179" s="3255" t="s">
        <v>3192</v>
      </c>
      <c r="C179" s="3267"/>
      <c r="D179" s="3267"/>
      <c r="E179" s="3267"/>
      <c r="F179" s="3256">
        <v>0.05</v>
      </c>
      <c r="G179" s="3273"/>
    </row>
    <row r="180" spans="1:7">
      <c r="A180" s="3266" t="s">
        <v>29</v>
      </c>
      <c r="B180" s="3255" t="s">
        <v>3193</v>
      </c>
      <c r="C180" s="3267"/>
      <c r="D180" s="3267"/>
      <c r="E180" s="3267"/>
      <c r="F180" s="3256">
        <v>0.05</v>
      </c>
      <c r="G180" s="3273"/>
    </row>
    <row r="181" spans="1:7">
      <c r="A181" s="3266" t="s">
        <v>29</v>
      </c>
      <c r="B181" s="3255" t="s">
        <v>3194</v>
      </c>
      <c r="C181" s="3267"/>
      <c r="D181" s="3267"/>
      <c r="E181" s="3267"/>
      <c r="F181" s="3256">
        <v>0.05</v>
      </c>
      <c r="G181" s="3273"/>
    </row>
    <row r="182" spans="1:7">
      <c r="A182" s="3266" t="s">
        <v>29</v>
      </c>
      <c r="B182" s="3255" t="s">
        <v>3195</v>
      </c>
      <c r="C182" s="3267"/>
      <c r="D182" s="3267"/>
      <c r="E182" s="3267"/>
      <c r="F182" s="3256">
        <v>0.05</v>
      </c>
      <c r="G182" s="3273"/>
    </row>
    <row r="183" spans="1:7">
      <c r="A183" s="3266" t="s">
        <v>29</v>
      </c>
      <c r="B183" s="3255" t="s">
        <v>3196</v>
      </c>
      <c r="C183" s="3267"/>
      <c r="D183" s="3267"/>
      <c r="E183" s="3267"/>
      <c r="F183" s="3256">
        <v>0.05</v>
      </c>
      <c r="G183" s="3273"/>
    </row>
    <row r="184" spans="1:7">
      <c r="A184" s="3266" t="s">
        <v>29</v>
      </c>
      <c r="B184" s="3255" t="s">
        <v>3197</v>
      </c>
      <c r="C184" s="3267"/>
      <c r="D184" s="3267"/>
      <c r="E184" s="3267"/>
      <c r="F184" s="3256">
        <v>0.05</v>
      </c>
      <c r="G184" s="3273"/>
    </row>
    <row r="185" spans="1:7">
      <c r="A185" s="3266" t="s">
        <v>29</v>
      </c>
      <c r="B185" s="3255" t="s">
        <v>3198</v>
      </c>
      <c r="C185" s="3267"/>
      <c r="D185" s="3267"/>
      <c r="E185" s="3267"/>
      <c r="F185" s="3256">
        <v>0.05</v>
      </c>
      <c r="G185" s="3273"/>
    </row>
    <row r="186" spans="1:7">
      <c r="A186" s="3266" t="s">
        <v>29</v>
      </c>
      <c r="B186" s="3255" t="s">
        <v>3199</v>
      </c>
      <c r="C186" s="3267"/>
      <c r="D186" s="3267"/>
      <c r="E186" s="3267"/>
      <c r="F186" s="3256">
        <v>0.05</v>
      </c>
      <c r="G186" s="3273"/>
    </row>
    <row r="187" spans="1:7">
      <c r="A187" s="3266" t="s">
        <v>29</v>
      </c>
      <c r="B187" s="3255" t="s">
        <v>3200</v>
      </c>
      <c r="C187" s="3267"/>
      <c r="D187" s="3267"/>
      <c r="E187" s="3267"/>
      <c r="F187" s="3256">
        <v>0.05</v>
      </c>
      <c r="G187" s="3273"/>
    </row>
    <row r="188" spans="1:7">
      <c r="A188" s="3266" t="s">
        <v>29</v>
      </c>
      <c r="B188" s="3255" t="s">
        <v>3201</v>
      </c>
      <c r="C188" s="3267"/>
      <c r="D188" s="3267"/>
      <c r="E188" s="3267"/>
      <c r="F188" s="3256">
        <v>0.05</v>
      </c>
      <c r="G188" s="3273"/>
    </row>
    <row r="189" spans="1:7" ht="14.25" thickBot="1">
      <c r="A189" s="3269" t="s">
        <v>29</v>
      </c>
      <c r="B189" s="3259" t="s">
        <v>3202</v>
      </c>
      <c r="C189" s="3261"/>
      <c r="D189" s="3261"/>
      <c r="E189" s="3261"/>
      <c r="F189" s="3260">
        <v>0.05</v>
      </c>
      <c r="G189" s="3274"/>
    </row>
    <row r="190" spans="1:7">
      <c r="A190" s="3265" t="s">
        <v>304</v>
      </c>
      <c r="B190" s="3251" t="s">
        <v>2858</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2894</v>
      </c>
      <c r="C199" s="3256">
        <v>0.13</v>
      </c>
      <c r="D199" s="3256">
        <v>0.13</v>
      </c>
      <c r="E199" s="3256">
        <v>0.13</v>
      </c>
      <c r="F199" s="3256">
        <v>0.13</v>
      </c>
      <c r="G199" s="3257">
        <v>0.13</v>
      </c>
    </row>
    <row r="200" spans="1:7">
      <c r="A200" s="3266" t="s">
        <v>304</v>
      </c>
      <c r="B200" s="3255" t="s">
        <v>2897</v>
      </c>
      <c r="C200" s="3272"/>
      <c r="D200" s="3272"/>
      <c r="E200" s="3272"/>
      <c r="F200" s="3256">
        <v>0.13</v>
      </c>
      <c r="G200" s="3268"/>
    </row>
    <row r="201" spans="1:7">
      <c r="A201" s="3266" t="s">
        <v>304</v>
      </c>
      <c r="B201" s="3255" t="s">
        <v>2902</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2905</v>
      </c>
      <c r="C203" s="3256">
        <v>0.129</v>
      </c>
      <c r="D203" s="3256">
        <v>0.129</v>
      </c>
      <c r="E203" s="3256">
        <v>0.13</v>
      </c>
      <c r="F203" s="3256">
        <v>0.13</v>
      </c>
      <c r="G203" s="3257">
        <v>0.13</v>
      </c>
    </row>
    <row r="204" spans="1:7">
      <c r="A204" s="3266" t="s">
        <v>304</v>
      </c>
      <c r="B204" s="3255" t="s">
        <v>2908</v>
      </c>
      <c r="C204" s="3256">
        <v>0.129</v>
      </c>
      <c r="D204" s="3256">
        <v>0.129</v>
      </c>
      <c r="E204" s="3256">
        <v>0.123</v>
      </c>
      <c r="F204" s="3256">
        <v>0.13</v>
      </c>
      <c r="G204" s="3257">
        <v>0.13</v>
      </c>
    </row>
    <row r="205" spans="1:7">
      <c r="A205" s="3266" t="s">
        <v>304</v>
      </c>
      <c r="B205" s="3255" t="s">
        <v>2910</v>
      </c>
      <c r="C205" s="3256">
        <v>0.13</v>
      </c>
      <c r="D205" s="3256">
        <v>0.13</v>
      </c>
      <c r="E205" s="3256">
        <v>0.13</v>
      </c>
      <c r="F205" s="3256">
        <v>0.13</v>
      </c>
      <c r="G205" s="3257">
        <v>0.13</v>
      </c>
    </row>
    <row r="206" spans="1:7">
      <c r="A206" s="3266" t="s">
        <v>304</v>
      </c>
      <c r="B206" s="3255" t="s">
        <v>2913</v>
      </c>
      <c r="C206" s="3256">
        <v>0.13</v>
      </c>
      <c r="D206" s="3256">
        <v>0.13</v>
      </c>
      <c r="E206" s="3256">
        <v>0.13</v>
      </c>
      <c r="F206" s="3256">
        <v>0.128</v>
      </c>
      <c r="G206" s="3257">
        <v>0.13</v>
      </c>
    </row>
    <row r="207" spans="1:7">
      <c r="A207" s="3266" t="s">
        <v>304</v>
      </c>
      <c r="B207" s="3255" t="s">
        <v>2915</v>
      </c>
      <c r="C207" s="3256">
        <v>0.13</v>
      </c>
      <c r="D207" s="3256">
        <v>0.13</v>
      </c>
      <c r="E207" s="3256">
        <v>0.13</v>
      </c>
      <c r="F207" s="3256">
        <v>0.13</v>
      </c>
      <c r="G207" s="3257">
        <v>0.13</v>
      </c>
    </row>
    <row r="208" spans="1:7">
      <c r="A208" s="3266" t="s">
        <v>304</v>
      </c>
      <c r="B208" s="3255" t="s">
        <v>2918</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2925</v>
      </c>
      <c r="C210" s="3256">
        <v>0.121</v>
      </c>
      <c r="D210" s="3256">
        <v>0.121</v>
      </c>
      <c r="E210" s="3256">
        <v>0.125</v>
      </c>
      <c r="F210" s="3256">
        <v>0.13</v>
      </c>
      <c r="G210" s="3257">
        <v>0.123</v>
      </c>
    </row>
    <row r="211" spans="1:7">
      <c r="A211" s="3266" t="s">
        <v>304</v>
      </c>
      <c r="B211" s="3255" t="s">
        <v>2928</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2940</v>
      </c>
      <c r="C214" s="3256">
        <v>0.128</v>
      </c>
      <c r="D214" s="3256">
        <v>0.128</v>
      </c>
      <c r="E214" s="3256">
        <v>0.13</v>
      </c>
      <c r="F214" s="3256">
        <v>0.13</v>
      </c>
      <c r="G214" s="3257">
        <v>0.13</v>
      </c>
    </row>
    <row r="215" spans="1:7">
      <c r="A215" s="3266" t="s">
        <v>304</v>
      </c>
      <c r="B215" s="3255" t="s">
        <v>2944</v>
      </c>
      <c r="C215" s="3256">
        <v>0.13</v>
      </c>
      <c r="D215" s="3256">
        <v>0.13</v>
      </c>
      <c r="E215" s="3256">
        <v>0.13</v>
      </c>
      <c r="F215" s="3256">
        <v>0.129</v>
      </c>
      <c r="G215" s="3257">
        <v>0.13</v>
      </c>
    </row>
    <row r="216" spans="1:7">
      <c r="A216" s="3266" t="s">
        <v>304</v>
      </c>
      <c r="B216" s="3255" t="s">
        <v>2951</v>
      </c>
      <c r="C216" s="3256">
        <v>0.13</v>
      </c>
      <c r="D216" s="3256">
        <v>0.13</v>
      </c>
      <c r="E216" s="3256">
        <v>0.13</v>
      </c>
      <c r="F216" s="3256">
        <v>0.13</v>
      </c>
      <c r="G216" s="3257">
        <v>0.13</v>
      </c>
    </row>
    <row r="217" spans="1:7">
      <c r="A217" s="3266" t="s">
        <v>304</v>
      </c>
      <c r="B217" s="3255" t="s">
        <v>2958</v>
      </c>
      <c r="C217" s="3256">
        <v>0.129</v>
      </c>
      <c r="D217" s="3256">
        <v>0.129</v>
      </c>
      <c r="E217" s="3256">
        <v>0.13</v>
      </c>
      <c r="F217" s="3256">
        <v>0.13</v>
      </c>
      <c r="G217" s="3257">
        <v>0.13</v>
      </c>
    </row>
    <row r="218" spans="1:7">
      <c r="A218" s="3266" t="s">
        <v>304</v>
      </c>
      <c r="B218" s="3255" t="s">
        <v>2964</v>
      </c>
      <c r="C218" s="3267"/>
      <c r="D218" s="3267"/>
      <c r="E218" s="3267"/>
      <c r="F218" s="3256">
        <v>0.05</v>
      </c>
      <c r="G218" s="3273"/>
    </row>
    <row r="219" spans="1:7">
      <c r="A219" s="3266" t="s">
        <v>304</v>
      </c>
      <c r="B219" s="3255" t="s">
        <v>2971</v>
      </c>
      <c r="C219" s="3267"/>
      <c r="D219" s="3267"/>
      <c r="E219" s="3267"/>
      <c r="F219" s="3256">
        <v>0.05</v>
      </c>
      <c r="G219" s="3273"/>
    </row>
    <row r="220" spans="1:7">
      <c r="A220" s="3266" t="s">
        <v>304</v>
      </c>
      <c r="B220" s="3255" t="s">
        <v>2977</v>
      </c>
      <c r="C220" s="3267"/>
      <c r="D220" s="3267"/>
      <c r="E220" s="3267"/>
      <c r="F220" s="3256">
        <v>0.05</v>
      </c>
      <c r="G220" s="3273"/>
    </row>
    <row r="221" spans="1:7">
      <c r="A221" s="3266" t="s">
        <v>304</v>
      </c>
      <c r="B221" s="3255" t="s">
        <v>2982</v>
      </c>
      <c r="C221" s="3267"/>
      <c r="D221" s="3267"/>
      <c r="E221" s="3267"/>
      <c r="F221" s="3256">
        <v>0.05</v>
      </c>
      <c r="G221" s="3273"/>
    </row>
    <row r="222" spans="1:7">
      <c r="A222" s="3266" t="s">
        <v>304</v>
      </c>
      <c r="B222" s="3255" t="s">
        <v>2986</v>
      </c>
      <c r="C222" s="3267"/>
      <c r="D222" s="3267"/>
      <c r="E222" s="3267"/>
      <c r="F222" s="3256">
        <v>0.05</v>
      </c>
      <c r="G222" s="3273"/>
    </row>
    <row r="223" spans="1:7">
      <c r="A223" s="3266" t="s">
        <v>304</v>
      </c>
      <c r="B223" s="3255" t="s">
        <v>2991</v>
      </c>
      <c r="C223" s="3267"/>
      <c r="D223" s="3267"/>
      <c r="E223" s="3267"/>
      <c r="F223" s="3256">
        <v>0.05</v>
      </c>
      <c r="G223" s="3273"/>
    </row>
    <row r="224" spans="1:7">
      <c r="A224" s="3266" t="s">
        <v>304</v>
      </c>
      <c r="B224" s="3255" t="s">
        <v>2996</v>
      </c>
      <c r="C224" s="3267"/>
      <c r="D224" s="3267"/>
      <c r="E224" s="3267"/>
      <c r="F224" s="3256">
        <v>0.05</v>
      </c>
      <c r="G224" s="3273"/>
    </row>
    <row r="225" spans="1:7">
      <c r="A225" s="3266" t="s">
        <v>304</v>
      </c>
      <c r="B225" s="3255" t="s">
        <v>3001</v>
      </c>
      <c r="C225" s="3267"/>
      <c r="D225" s="3267"/>
      <c r="E225" s="3267"/>
      <c r="F225" s="3256">
        <v>0.05</v>
      </c>
      <c r="G225" s="3273"/>
    </row>
    <row r="226" spans="1:7">
      <c r="A226" s="3266" t="s">
        <v>304</v>
      </c>
      <c r="B226" s="3255" t="s">
        <v>3203</v>
      </c>
      <c r="C226" s="3267"/>
      <c r="D226" s="3267"/>
      <c r="E226" s="3267"/>
      <c r="F226" s="3256">
        <v>0.05</v>
      </c>
      <c r="G226" s="3273"/>
    </row>
    <row r="227" spans="1:7">
      <c r="A227" s="3266" t="s">
        <v>304</v>
      </c>
      <c r="B227" s="3255" t="s">
        <v>3204</v>
      </c>
      <c r="C227" s="3267"/>
      <c r="D227" s="3267"/>
      <c r="E227" s="3267"/>
      <c r="F227" s="3256">
        <v>0.05</v>
      </c>
      <c r="G227" s="3273"/>
    </row>
    <row r="228" spans="1:7">
      <c r="A228" s="3266" t="s">
        <v>304</v>
      </c>
      <c r="B228" s="3255" t="s">
        <v>3205</v>
      </c>
      <c r="C228" s="3267"/>
      <c r="D228" s="3267"/>
      <c r="E228" s="3267"/>
      <c r="F228" s="3256">
        <v>0.05</v>
      </c>
      <c r="G228" s="3273"/>
    </row>
    <row r="229" spans="1:7">
      <c r="A229" s="3266" t="s">
        <v>304</v>
      </c>
      <c r="B229" s="3255" t="s">
        <v>3206</v>
      </c>
      <c r="C229" s="3267"/>
      <c r="D229" s="3267"/>
      <c r="E229" s="3267"/>
      <c r="F229" s="3256">
        <v>0.05</v>
      </c>
      <c r="G229" s="3273"/>
    </row>
    <row r="230" spans="1:7">
      <c r="A230" s="3266" t="s">
        <v>304</v>
      </c>
      <c r="B230" s="3255" t="s">
        <v>3207</v>
      </c>
      <c r="C230" s="3267"/>
      <c r="D230" s="3267"/>
      <c r="E230" s="3267"/>
      <c r="F230" s="3256">
        <v>0.05</v>
      </c>
      <c r="G230" s="3273"/>
    </row>
    <row r="231" spans="1:7">
      <c r="A231" s="3266" t="s">
        <v>304</v>
      </c>
      <c r="B231" s="3255" t="s">
        <v>3208</v>
      </c>
      <c r="C231" s="3267"/>
      <c r="D231" s="3267"/>
      <c r="E231" s="3267"/>
      <c r="F231" s="3256">
        <v>0.05</v>
      </c>
      <c r="G231" s="3273"/>
    </row>
    <row r="232" spans="1:7">
      <c r="A232" s="3266" t="s">
        <v>304</v>
      </c>
      <c r="B232" s="3255" t="s">
        <v>3209</v>
      </c>
      <c r="C232" s="3267"/>
      <c r="D232" s="3267"/>
      <c r="E232" s="3267"/>
      <c r="F232" s="3256">
        <v>0.05</v>
      </c>
      <c r="G232" s="3273"/>
    </row>
    <row r="233" spans="1:7" ht="14.25" thickBot="1">
      <c r="A233" s="3269" t="s">
        <v>304</v>
      </c>
      <c r="B233" s="3259" t="s">
        <v>3210</v>
      </c>
      <c r="C233" s="3261"/>
      <c r="D233" s="3261"/>
      <c r="E233" s="3261"/>
      <c r="F233" s="3260">
        <v>0.05</v>
      </c>
      <c r="G233" s="3274"/>
    </row>
    <row r="234" spans="1:7">
      <c r="A234" s="3265" t="s">
        <v>305</v>
      </c>
      <c r="B234" s="3251" t="s">
        <v>2859</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2879</v>
      </c>
      <c r="C238" s="3256">
        <v>0.14899999999999999</v>
      </c>
      <c r="D238" s="3256">
        <v>0.14899999999999999</v>
      </c>
      <c r="E238" s="3256">
        <v>0.15</v>
      </c>
      <c r="F238" s="3256">
        <v>0.15</v>
      </c>
      <c r="G238" s="3257">
        <v>0.15</v>
      </c>
    </row>
    <row r="239" spans="1:7">
      <c r="A239" s="3266" t="s">
        <v>305</v>
      </c>
      <c r="B239" s="3255" t="s">
        <v>2883</v>
      </c>
      <c r="C239" s="3256">
        <v>0.15</v>
      </c>
      <c r="D239" s="3256">
        <v>0.15</v>
      </c>
      <c r="E239" s="3256">
        <v>0.15</v>
      </c>
      <c r="F239" s="3256">
        <v>0.15</v>
      </c>
      <c r="G239" s="3257">
        <v>0.15</v>
      </c>
    </row>
    <row r="240" spans="1:7">
      <c r="A240" s="3266" t="s">
        <v>305</v>
      </c>
      <c r="B240" s="3255" t="s">
        <v>2888</v>
      </c>
      <c r="C240" s="3256">
        <v>0.15</v>
      </c>
      <c r="D240" s="3256">
        <v>0.15</v>
      </c>
      <c r="E240" s="3256">
        <v>0.15</v>
      </c>
      <c r="F240" s="3256">
        <v>0.15</v>
      </c>
      <c r="G240" s="3257">
        <v>0.15</v>
      </c>
    </row>
    <row r="241" spans="1:7">
      <c r="A241" s="3266" t="s">
        <v>305</v>
      </c>
      <c r="B241" s="3255" t="s">
        <v>2892</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2898</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2906</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2911</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2919</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2932</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2941</v>
      </c>
      <c r="C258" s="3256">
        <v>0.14299999999999999</v>
      </c>
      <c r="D258" s="3256">
        <v>0.14299999999999999</v>
      </c>
      <c r="E258" s="3256">
        <v>0.15</v>
      </c>
      <c r="F258" s="3256">
        <v>0.14799999999999999</v>
      </c>
      <c r="G258" s="3257">
        <v>0.14599999999999999</v>
      </c>
    </row>
    <row r="259" spans="1:7">
      <c r="A259" s="3266" t="s">
        <v>305</v>
      </c>
      <c r="B259" s="3255" t="s">
        <v>2945</v>
      </c>
      <c r="C259" s="3256">
        <v>0.14399999999999999</v>
      </c>
      <c r="D259" s="3256">
        <v>0.14399999999999999</v>
      </c>
      <c r="E259" s="3256">
        <v>0.14899999999999999</v>
      </c>
      <c r="F259" s="3256">
        <v>0.14699999999999999</v>
      </c>
      <c r="G259" s="3257">
        <v>0.14599999999999999</v>
      </c>
    </row>
    <row r="260" spans="1:7">
      <c r="A260" s="3266" t="s">
        <v>305</v>
      </c>
      <c r="B260" s="3255" t="s">
        <v>2952</v>
      </c>
      <c r="C260" s="3256">
        <v>0.109</v>
      </c>
      <c r="D260" s="3256">
        <v>0.111</v>
      </c>
      <c r="E260" s="3256">
        <v>0.13100000000000001</v>
      </c>
      <c r="F260" s="3256">
        <v>0.126</v>
      </c>
      <c r="G260" s="3257">
        <v>0.11899999999999999</v>
      </c>
    </row>
    <row r="261" spans="1:7">
      <c r="A261" s="3266" t="s">
        <v>305</v>
      </c>
      <c r="B261" s="3255" t="s">
        <v>2959</v>
      </c>
      <c r="C261" s="3256">
        <v>0.1</v>
      </c>
      <c r="D261" s="3256">
        <v>0.1</v>
      </c>
      <c r="E261" s="3256">
        <v>0.11799999999999999</v>
      </c>
      <c r="F261" s="3256">
        <v>0.108</v>
      </c>
      <c r="G261" s="3257">
        <v>0.107</v>
      </c>
    </row>
    <row r="262" spans="1:7">
      <c r="A262" s="3266" t="s">
        <v>305</v>
      </c>
      <c r="B262" s="3255" t="s">
        <v>2965</v>
      </c>
      <c r="C262" s="3256">
        <v>0.1</v>
      </c>
      <c r="D262" s="3256">
        <v>0.1</v>
      </c>
      <c r="E262" s="3256">
        <v>0.1</v>
      </c>
      <c r="F262" s="3256">
        <v>0.14099999999999999</v>
      </c>
      <c r="G262" s="3257">
        <v>0.1</v>
      </c>
    </row>
    <row r="263" spans="1:7">
      <c r="A263" s="3266" t="s">
        <v>305</v>
      </c>
      <c r="B263" s="3255" t="s">
        <v>2972</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2983</v>
      </c>
      <c r="C265" s="3267"/>
      <c r="D265" s="3267"/>
      <c r="E265" s="3267"/>
      <c r="F265" s="3256">
        <v>0.05</v>
      </c>
      <c r="G265" s="3273"/>
    </row>
    <row r="266" spans="1:7">
      <c r="A266" s="3266" t="s">
        <v>305</v>
      </c>
      <c r="B266" s="3255" t="s">
        <v>2987</v>
      </c>
      <c r="C266" s="3267"/>
      <c r="D266" s="3267"/>
      <c r="E266" s="3267"/>
      <c r="F266" s="3256">
        <v>0.05</v>
      </c>
      <c r="G266" s="3273"/>
    </row>
    <row r="267" spans="1:7">
      <c r="A267" s="3266" t="s">
        <v>305</v>
      </c>
      <c r="B267" s="3255" t="s">
        <v>2992</v>
      </c>
      <c r="C267" s="3267"/>
      <c r="D267" s="3267"/>
      <c r="E267" s="3267"/>
      <c r="F267" s="3256">
        <v>0.05</v>
      </c>
      <c r="G267" s="3273"/>
    </row>
    <row r="268" spans="1:7">
      <c r="A268" s="3266" t="s">
        <v>305</v>
      </c>
      <c r="B268" s="3255" t="s">
        <v>2997</v>
      </c>
      <c r="C268" s="3267"/>
      <c r="D268" s="3267"/>
      <c r="E268" s="3267"/>
      <c r="F268" s="3256">
        <v>0.05</v>
      </c>
      <c r="G268" s="3273"/>
    </row>
    <row r="269" spans="1:7">
      <c r="A269" s="3266" t="s">
        <v>305</v>
      </c>
      <c r="B269" s="3255" t="s">
        <v>3002</v>
      </c>
      <c r="C269" s="3267"/>
      <c r="D269" s="3267"/>
      <c r="E269" s="3267"/>
      <c r="F269" s="3256">
        <v>0.05</v>
      </c>
      <c r="G269" s="3273"/>
    </row>
    <row r="270" spans="1:7">
      <c r="A270" s="3266" t="s">
        <v>305</v>
      </c>
      <c r="B270" s="3255" t="s">
        <v>3007</v>
      </c>
      <c r="C270" s="3267"/>
      <c r="D270" s="3267"/>
      <c r="E270" s="3267"/>
      <c r="F270" s="3256">
        <v>0.05</v>
      </c>
      <c r="G270" s="3273"/>
    </row>
    <row r="271" spans="1:7">
      <c r="A271" s="3266" t="s">
        <v>305</v>
      </c>
      <c r="B271" s="3255" t="s">
        <v>3211</v>
      </c>
      <c r="C271" s="3267"/>
      <c r="D271" s="3267"/>
      <c r="E271" s="3267"/>
      <c r="F271" s="3256">
        <v>0.05</v>
      </c>
      <c r="G271" s="3273"/>
    </row>
    <row r="272" spans="1:7">
      <c r="A272" s="3266" t="s">
        <v>305</v>
      </c>
      <c r="B272" s="3255" t="s">
        <v>3212</v>
      </c>
      <c r="C272" s="3267"/>
      <c r="D272" s="3267"/>
      <c r="E272" s="3267"/>
      <c r="F272" s="3256">
        <v>0.05</v>
      </c>
      <c r="G272" s="3273"/>
    </row>
    <row r="273" spans="1:7">
      <c r="A273" s="3266" t="s">
        <v>305</v>
      </c>
      <c r="B273" s="3255" t="s">
        <v>3213</v>
      </c>
      <c r="C273" s="3267"/>
      <c r="D273" s="3267"/>
      <c r="E273" s="3267"/>
      <c r="F273" s="3256">
        <v>0.05</v>
      </c>
      <c r="G273" s="3273"/>
    </row>
    <row r="274" spans="1:7">
      <c r="A274" s="3266" t="s">
        <v>305</v>
      </c>
      <c r="B274" s="3255" t="s">
        <v>3214</v>
      </c>
      <c r="C274" s="3267"/>
      <c r="D274" s="3267"/>
      <c r="E274" s="3267"/>
      <c r="F274" s="3256">
        <v>0.05</v>
      </c>
      <c r="G274" s="3273"/>
    </row>
    <row r="275" spans="1:7">
      <c r="A275" s="3266" t="s">
        <v>305</v>
      </c>
      <c r="B275" s="3255" t="s">
        <v>3215</v>
      </c>
      <c r="C275" s="3267"/>
      <c r="D275" s="3267"/>
      <c r="E275" s="3267"/>
      <c r="F275" s="3256">
        <v>0.05</v>
      </c>
      <c r="G275" s="3273"/>
    </row>
    <row r="276" spans="1:7" ht="14.25" thickBot="1">
      <c r="A276" s="3269" t="s">
        <v>305</v>
      </c>
      <c r="B276" s="3259" t="s">
        <v>3216</v>
      </c>
      <c r="C276" s="3261"/>
      <c r="D276" s="3261"/>
      <c r="E276" s="3261"/>
      <c r="F276" s="3260">
        <v>0.05</v>
      </c>
      <c r="G276" s="3274"/>
    </row>
    <row r="277" spans="1:7">
      <c r="A277" s="3265" t="s">
        <v>306</v>
      </c>
      <c r="B277" s="3251" t="s">
        <v>2860</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2872</v>
      </c>
      <c r="C279" s="3256">
        <v>0.15</v>
      </c>
      <c r="D279" s="3256">
        <v>0.15</v>
      </c>
      <c r="E279" s="3256">
        <v>0.15</v>
      </c>
      <c r="F279" s="3256">
        <v>0.15</v>
      </c>
      <c r="G279" s="3257">
        <v>0.15</v>
      </c>
    </row>
    <row r="280" spans="1:7">
      <c r="A280" s="3266" t="s">
        <v>306</v>
      </c>
      <c r="B280" s="3255" t="s">
        <v>2876</v>
      </c>
      <c r="C280" s="3256">
        <v>0.15</v>
      </c>
      <c r="D280" s="3256">
        <v>0.15</v>
      </c>
      <c r="E280" s="3256">
        <v>0.15</v>
      </c>
      <c r="F280" s="3256">
        <v>0.15</v>
      </c>
      <c r="G280" s="3257">
        <v>0.15</v>
      </c>
    </row>
    <row r="281" spans="1:7">
      <c r="A281" s="3266" t="s">
        <v>306</v>
      </c>
      <c r="B281" s="3255" t="s">
        <v>2880</v>
      </c>
      <c r="C281" s="3256">
        <v>0.15</v>
      </c>
      <c r="D281" s="3256">
        <v>0.15</v>
      </c>
      <c r="E281" s="3256">
        <v>0.15</v>
      </c>
      <c r="F281" s="3256">
        <v>0.15</v>
      </c>
      <c r="G281" s="3257">
        <v>0.15</v>
      </c>
    </row>
    <row r="282" spans="1:7">
      <c r="A282" s="3266" t="s">
        <v>306</v>
      </c>
      <c r="B282" s="3255" t="s">
        <v>2884</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2899</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2904</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2914</v>
      </c>
      <c r="C293" s="3256">
        <v>0.15</v>
      </c>
      <c r="D293" s="3256">
        <v>0.15</v>
      </c>
      <c r="E293" s="3256">
        <v>0.15</v>
      </c>
      <c r="F293" s="3256">
        <v>0.14499999999999999</v>
      </c>
      <c r="G293" s="3257">
        <v>0.15</v>
      </c>
    </row>
    <row r="294" spans="1:7">
      <c r="A294" s="3266" t="s">
        <v>306</v>
      </c>
      <c r="B294" s="3255" t="s">
        <v>2916</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2933</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2946</v>
      </c>
      <c r="C302" s="3256">
        <v>0.15</v>
      </c>
      <c r="D302" s="3256">
        <v>0.15</v>
      </c>
      <c r="E302" s="3256">
        <v>0.15</v>
      </c>
      <c r="F302" s="3256">
        <v>0.14699999999999999</v>
      </c>
      <c r="G302" s="3257">
        <v>0.15</v>
      </c>
    </row>
    <row r="303" spans="1:7">
      <c r="A303" s="3266" t="s">
        <v>306</v>
      </c>
      <c r="B303" s="3255" t="s">
        <v>2953</v>
      </c>
      <c r="C303" s="3256">
        <v>0.15</v>
      </c>
      <c r="D303" s="3256">
        <v>0.15</v>
      </c>
      <c r="E303" s="3256">
        <v>0.15</v>
      </c>
      <c r="F303" s="3256">
        <v>0.14199999999999999</v>
      </c>
      <c r="G303" s="3257">
        <v>0.15</v>
      </c>
    </row>
    <row r="304" spans="1:7">
      <c r="A304" s="3266" t="s">
        <v>306</v>
      </c>
      <c r="B304" s="3255" t="s">
        <v>2960</v>
      </c>
      <c r="C304" s="3256">
        <v>0.15</v>
      </c>
      <c r="D304" s="3256">
        <v>0.15</v>
      </c>
      <c r="E304" s="3256">
        <v>0.15</v>
      </c>
      <c r="F304" s="3256">
        <v>0.14499999999999999</v>
      </c>
      <c r="G304" s="3257">
        <v>0.15</v>
      </c>
    </row>
    <row r="305" spans="1:7">
      <c r="A305" s="3266" t="s">
        <v>306</v>
      </c>
      <c r="B305" s="3255" t="s">
        <v>2966</v>
      </c>
      <c r="C305" s="3256">
        <v>0.15</v>
      </c>
      <c r="D305" s="3256">
        <v>0.15</v>
      </c>
      <c r="E305" s="3256">
        <v>0.15</v>
      </c>
      <c r="F305" s="3256">
        <v>0.111</v>
      </c>
      <c r="G305" s="3257">
        <v>0.15</v>
      </c>
    </row>
    <row r="306" spans="1:7">
      <c r="A306" s="3266" t="s">
        <v>306</v>
      </c>
      <c r="B306" s="3255" t="s">
        <v>2973</v>
      </c>
      <c r="C306" s="3256">
        <v>0.15</v>
      </c>
      <c r="D306" s="3256">
        <v>0.15</v>
      </c>
      <c r="E306" s="3256">
        <v>0.15</v>
      </c>
      <c r="F306" s="3256">
        <v>0.126</v>
      </c>
      <c r="G306" s="3257">
        <v>0.15</v>
      </c>
    </row>
    <row r="307" spans="1:7">
      <c r="A307" s="3266" t="s">
        <v>306</v>
      </c>
      <c r="B307" s="3255" t="s">
        <v>2978</v>
      </c>
      <c r="C307" s="3256">
        <v>0.15</v>
      </c>
      <c r="D307" s="3256">
        <v>0.15</v>
      </c>
      <c r="E307" s="3256">
        <v>0.15</v>
      </c>
      <c r="F307" s="3256">
        <v>0.12</v>
      </c>
      <c r="G307" s="3257">
        <v>0.15</v>
      </c>
    </row>
    <row r="308" spans="1:7">
      <c r="A308" s="3266" t="s">
        <v>306</v>
      </c>
      <c r="B308" s="3255" t="s">
        <v>2984</v>
      </c>
      <c r="C308" s="3256">
        <v>0.15</v>
      </c>
      <c r="D308" s="3256">
        <v>0.15</v>
      </c>
      <c r="E308" s="3256">
        <v>0.15</v>
      </c>
      <c r="F308" s="3256">
        <v>0.13</v>
      </c>
      <c r="G308" s="3257">
        <v>0.15</v>
      </c>
    </row>
    <row r="309" spans="1:7">
      <c r="A309" s="3266" t="s">
        <v>306</v>
      </c>
      <c r="B309" s="3255" t="s">
        <v>2988</v>
      </c>
      <c r="C309" s="3256">
        <v>0.15</v>
      </c>
      <c r="D309" s="3256">
        <v>0.15</v>
      </c>
      <c r="E309" s="3256">
        <v>0.15</v>
      </c>
      <c r="F309" s="3256">
        <v>0.14099999999999999</v>
      </c>
      <c r="G309" s="3257">
        <v>0.15</v>
      </c>
    </row>
    <row r="310" spans="1:7">
      <c r="A310" s="3266" t="s">
        <v>306</v>
      </c>
      <c r="B310" s="3255" t="s">
        <v>2993</v>
      </c>
      <c r="C310" s="3256">
        <v>0.15</v>
      </c>
      <c r="D310" s="3256">
        <v>0.15</v>
      </c>
      <c r="E310" s="3256">
        <v>0.15</v>
      </c>
      <c r="F310" s="3256">
        <v>0.15</v>
      </c>
      <c r="G310" s="3257">
        <v>0.15</v>
      </c>
    </row>
    <row r="311" spans="1:7">
      <c r="A311" s="3266" t="s">
        <v>306</v>
      </c>
      <c r="B311" s="3255" t="s">
        <v>2998</v>
      </c>
      <c r="C311" s="3256">
        <v>0.13200000000000001</v>
      </c>
      <c r="D311" s="3256">
        <v>0.13300000000000001</v>
      </c>
      <c r="E311" s="3256">
        <v>0.14499999999999999</v>
      </c>
      <c r="F311" s="3256">
        <v>0.14199999999999999</v>
      </c>
      <c r="G311" s="3257">
        <v>0.14000000000000001</v>
      </c>
    </row>
    <row r="312" spans="1:7">
      <c r="A312" s="3266" t="s">
        <v>306</v>
      </c>
      <c r="B312" s="3255" t="s">
        <v>3003</v>
      </c>
      <c r="C312" s="3256">
        <v>0.13800000000000001</v>
      </c>
      <c r="D312" s="3256">
        <v>0.14000000000000001</v>
      </c>
      <c r="E312" s="3256">
        <v>0.14599999999999999</v>
      </c>
      <c r="F312" s="3256">
        <v>0.14899999999999999</v>
      </c>
      <c r="G312" s="3257">
        <v>0.14199999999999999</v>
      </c>
    </row>
    <row r="313" spans="1:7">
      <c r="A313" s="3266" t="s">
        <v>306</v>
      </c>
      <c r="B313" s="3255" t="s">
        <v>3008</v>
      </c>
      <c r="C313" s="3256">
        <v>0.125</v>
      </c>
      <c r="D313" s="3256">
        <v>0.127</v>
      </c>
      <c r="E313" s="3256">
        <v>0.14399999999999999</v>
      </c>
      <c r="F313" s="3256">
        <v>0.115</v>
      </c>
      <c r="G313" s="3257">
        <v>0.13600000000000001</v>
      </c>
    </row>
    <row r="314" spans="1:7">
      <c r="A314" s="3266" t="s">
        <v>306</v>
      </c>
      <c r="B314" s="3255" t="s">
        <v>3217</v>
      </c>
      <c r="C314" s="3272"/>
      <c r="D314" s="3272"/>
      <c r="E314" s="3272"/>
      <c r="F314" s="3256">
        <v>0.05</v>
      </c>
      <c r="G314" s="3273"/>
    </row>
    <row r="315" spans="1:7">
      <c r="A315" s="3266" t="s">
        <v>306</v>
      </c>
      <c r="B315" s="3255" t="s">
        <v>3218</v>
      </c>
      <c r="C315" s="3272"/>
      <c r="D315" s="3272"/>
      <c r="E315" s="3272"/>
      <c r="F315" s="3256">
        <v>0.05</v>
      </c>
      <c r="G315" s="3273"/>
    </row>
    <row r="316" spans="1:7">
      <c r="A316" s="3266" t="s">
        <v>306</v>
      </c>
      <c r="B316" s="3255" t="s">
        <v>3219</v>
      </c>
      <c r="C316" s="3267"/>
      <c r="D316" s="3267"/>
      <c r="E316" s="3267"/>
      <c r="F316" s="3256">
        <v>0.05</v>
      </c>
      <c r="G316" s="3273"/>
    </row>
    <row r="317" spans="1:7">
      <c r="A317" s="3266" t="s">
        <v>306</v>
      </c>
      <c r="B317" s="3255" t="s">
        <v>3220</v>
      </c>
      <c r="C317" s="3267"/>
      <c r="D317" s="3267"/>
      <c r="E317" s="3267"/>
      <c r="F317" s="3256">
        <v>0.05</v>
      </c>
      <c r="G317" s="3273"/>
    </row>
    <row r="318" spans="1:7">
      <c r="A318" s="3266" t="s">
        <v>306</v>
      </c>
      <c r="B318" s="3255" t="s">
        <v>3221</v>
      </c>
      <c r="C318" s="3267"/>
      <c r="D318" s="3267"/>
      <c r="E318" s="3267"/>
      <c r="F318" s="3256">
        <v>0.05</v>
      </c>
      <c r="G318" s="3273"/>
    </row>
    <row r="319" spans="1:7">
      <c r="A319" s="3266" t="s">
        <v>306</v>
      </c>
      <c r="B319" s="3255" t="s">
        <v>3222</v>
      </c>
      <c r="C319" s="3267"/>
      <c r="D319" s="3267"/>
      <c r="E319" s="3267"/>
      <c r="F319" s="3256">
        <v>0.05</v>
      </c>
      <c r="G319" s="3273"/>
    </row>
    <row r="320" spans="1:7">
      <c r="A320" s="3266" t="s">
        <v>306</v>
      </c>
      <c r="B320" s="3255" t="s">
        <v>3223</v>
      </c>
      <c r="C320" s="3267"/>
      <c r="D320" s="3267"/>
      <c r="E320" s="3267"/>
      <c r="F320" s="3256">
        <v>0.05</v>
      </c>
      <c r="G320" s="3273"/>
    </row>
    <row r="321" spans="1:7">
      <c r="A321" s="3266" t="s">
        <v>306</v>
      </c>
      <c r="B321" s="3255" t="s">
        <v>3224</v>
      </c>
      <c r="C321" s="3267"/>
      <c r="D321" s="3267"/>
      <c r="E321" s="3267"/>
      <c r="F321" s="3256">
        <v>0.05</v>
      </c>
      <c r="G321" s="3273"/>
    </row>
    <row r="322" spans="1:7">
      <c r="A322" s="3266" t="s">
        <v>306</v>
      </c>
      <c r="B322" s="3255" t="s">
        <v>3225</v>
      </c>
      <c r="C322" s="3267"/>
      <c r="D322" s="3267"/>
      <c r="E322" s="3267"/>
      <c r="F322" s="3256">
        <v>0.05</v>
      </c>
      <c r="G322" s="3273"/>
    </row>
    <row r="323" spans="1:7">
      <c r="A323" s="3266" t="s">
        <v>306</v>
      </c>
      <c r="B323" s="3255" t="s">
        <v>3226</v>
      </c>
      <c r="C323" s="3267"/>
      <c r="D323" s="3267"/>
      <c r="E323" s="3267"/>
      <c r="F323" s="3256">
        <v>0.05</v>
      </c>
      <c r="G323" s="3273"/>
    </row>
    <row r="324" spans="1:7">
      <c r="A324" s="3266" t="s">
        <v>306</v>
      </c>
      <c r="B324" s="3255" t="s">
        <v>3227</v>
      </c>
      <c r="C324" s="3267"/>
      <c r="D324" s="3267"/>
      <c r="E324" s="3267"/>
      <c r="F324" s="3256">
        <v>0.05</v>
      </c>
      <c r="G324" s="3273"/>
    </row>
    <row r="325" spans="1:7">
      <c r="A325" s="3266" t="s">
        <v>306</v>
      </c>
      <c r="B325" s="3255" t="s">
        <v>3228</v>
      </c>
      <c r="C325" s="3267"/>
      <c r="D325" s="3267"/>
      <c r="E325" s="3267"/>
      <c r="F325" s="3256">
        <v>0.05</v>
      </c>
      <c r="G325" s="3273"/>
    </row>
    <row r="326" spans="1:7" ht="14.25" thickBot="1">
      <c r="A326" s="3269" t="s">
        <v>306</v>
      </c>
      <c r="B326" s="3259" t="s">
        <v>3229</v>
      </c>
      <c r="C326" s="3261"/>
      <c r="D326" s="3261"/>
      <c r="E326" s="3261"/>
      <c r="F326" s="3260">
        <v>0.05</v>
      </c>
      <c r="G326" s="3274"/>
    </row>
    <row r="327" spans="1:7">
      <c r="A327" s="3265" t="s">
        <v>307</v>
      </c>
      <c r="B327" s="3251" t="s">
        <v>2861</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2873</v>
      </c>
      <c r="C329" s="3256">
        <v>0.15</v>
      </c>
      <c r="D329" s="3256">
        <v>0.15</v>
      </c>
      <c r="E329" s="3256">
        <v>0.15</v>
      </c>
      <c r="F329" s="3256">
        <v>0.15</v>
      </c>
      <c r="G329" s="3257">
        <v>0.15</v>
      </c>
    </row>
    <row r="330" spans="1:7">
      <c r="A330" s="3266" t="s">
        <v>307</v>
      </c>
      <c r="B330" s="3255" t="s">
        <v>2877</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2885</v>
      </c>
      <c r="C332" s="3256">
        <v>0.15</v>
      </c>
      <c r="D332" s="3256">
        <v>0.15</v>
      </c>
      <c r="E332" s="3256">
        <v>0.15</v>
      </c>
      <c r="F332" s="3256">
        <v>0.15</v>
      </c>
      <c r="G332" s="3257">
        <v>0.15</v>
      </c>
    </row>
    <row r="333" spans="1:7">
      <c r="A333" s="3266" t="s">
        <v>307</v>
      </c>
      <c r="B333" s="3255" t="s">
        <v>2889</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2895</v>
      </c>
      <c r="C336" s="3256">
        <v>0.15</v>
      </c>
      <c r="D336" s="3256">
        <v>0.15</v>
      </c>
      <c r="E336" s="3256">
        <v>0.15</v>
      </c>
      <c r="F336" s="3256">
        <v>0.14199999999999999</v>
      </c>
      <c r="G336" s="3257">
        <v>0.15</v>
      </c>
    </row>
    <row r="337" spans="1:7">
      <c r="A337" s="3266" t="s">
        <v>307</v>
      </c>
      <c r="B337" s="3255" t="s">
        <v>2900</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2907</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2912</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2920</v>
      </c>
      <c r="C345" s="3256">
        <v>0.15</v>
      </c>
      <c r="D345" s="3256">
        <v>0.15</v>
      </c>
      <c r="E345" s="3256">
        <v>0.15</v>
      </c>
      <c r="F345" s="3256">
        <v>0.13800000000000001</v>
      </c>
      <c r="G345" s="3257">
        <v>0.15</v>
      </c>
    </row>
    <row r="346" spans="1:7">
      <c r="A346" s="3266" t="s">
        <v>307</v>
      </c>
      <c r="B346" s="3255" t="s">
        <v>2922</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2929</v>
      </c>
      <c r="C348" s="3256">
        <v>0.15</v>
      </c>
      <c r="D348" s="3256">
        <v>0.15</v>
      </c>
      <c r="E348" s="3256">
        <v>0.15</v>
      </c>
      <c r="F348" s="3256">
        <v>0.14399999999999999</v>
      </c>
      <c r="G348" s="3257">
        <v>0.15</v>
      </c>
    </row>
    <row r="349" spans="1:7">
      <c r="A349" s="3266" t="s">
        <v>307</v>
      </c>
      <c r="B349" s="3255" t="s">
        <v>2934</v>
      </c>
      <c r="C349" s="3256">
        <v>0.15</v>
      </c>
      <c r="D349" s="3256">
        <v>0.15</v>
      </c>
      <c r="E349" s="3256">
        <v>0.15</v>
      </c>
      <c r="F349" s="3256">
        <v>0.15</v>
      </c>
      <c r="G349" s="3257">
        <v>0.15</v>
      </c>
    </row>
    <row r="350" spans="1:7">
      <c r="A350" s="3266" t="s">
        <v>307</v>
      </c>
      <c r="B350" s="3255" t="s">
        <v>2937</v>
      </c>
      <c r="C350" s="3256">
        <v>0.15</v>
      </c>
      <c r="D350" s="3256">
        <v>0.15</v>
      </c>
      <c r="E350" s="3256">
        <v>0.15</v>
      </c>
      <c r="F350" s="3256">
        <v>0.14699999999999999</v>
      </c>
      <c r="G350" s="3257">
        <v>0.15</v>
      </c>
    </row>
    <row r="351" spans="1:7">
      <c r="A351" s="3266" t="s">
        <v>307</v>
      </c>
      <c r="B351" s="3255" t="s">
        <v>2942</v>
      </c>
      <c r="C351" s="3256">
        <v>0.15</v>
      </c>
      <c r="D351" s="3256">
        <v>0.15</v>
      </c>
      <c r="E351" s="3256">
        <v>0.15</v>
      </c>
      <c r="F351" s="3256">
        <v>0.13</v>
      </c>
      <c r="G351" s="3257">
        <v>0.15</v>
      </c>
    </row>
    <row r="352" spans="1:7">
      <c r="A352" s="3266" t="s">
        <v>307</v>
      </c>
      <c r="B352" s="3255" t="s">
        <v>2947</v>
      </c>
      <c r="C352" s="3256">
        <v>0.15</v>
      </c>
      <c r="D352" s="3256">
        <v>0.15</v>
      </c>
      <c r="E352" s="3256">
        <v>0.15</v>
      </c>
      <c r="F352" s="3256">
        <v>0.14599999999999999</v>
      </c>
      <c r="G352" s="3257">
        <v>0.15</v>
      </c>
    </row>
    <row r="353" spans="1:7">
      <c r="A353" s="3266" t="s">
        <v>307</v>
      </c>
      <c r="B353" s="3255" t="s">
        <v>2954</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2967</v>
      </c>
      <c r="C355" s="3256">
        <v>0.15</v>
      </c>
      <c r="D355" s="3256">
        <v>0.15</v>
      </c>
      <c r="E355" s="3256">
        <v>0.15</v>
      </c>
      <c r="F355" s="3256">
        <v>0.15</v>
      </c>
      <c r="G355" s="3257">
        <v>0.15</v>
      </c>
    </row>
    <row r="356" spans="1:7">
      <c r="A356" s="3266" t="s">
        <v>307</v>
      </c>
      <c r="B356" s="3255" t="s">
        <v>2974</v>
      </c>
      <c r="C356" s="3256">
        <v>0.15</v>
      </c>
      <c r="D356" s="3256">
        <v>0.15</v>
      </c>
      <c r="E356" s="3256">
        <v>0.15</v>
      </c>
      <c r="F356" s="3256">
        <v>0.15</v>
      </c>
      <c r="G356" s="3257">
        <v>0.15</v>
      </c>
    </row>
    <row r="357" spans="1:7" ht="14.25" thickBot="1">
      <c r="A357" s="3269" t="s">
        <v>307</v>
      </c>
      <c r="B357" s="3259" t="s">
        <v>2979</v>
      </c>
      <c r="C357" s="3260">
        <v>0.126</v>
      </c>
      <c r="D357" s="3260">
        <v>0.127</v>
      </c>
      <c r="E357" s="3260">
        <v>0.14299999999999999</v>
      </c>
      <c r="F357" s="3260">
        <v>0.125</v>
      </c>
      <c r="G357" s="3262">
        <v>0.129</v>
      </c>
    </row>
    <row r="358" spans="1:7">
      <c r="A358" s="3265" t="s">
        <v>2848</v>
      </c>
      <c r="B358" s="3251" t="s">
        <v>2862</v>
      </c>
      <c r="C358" s="3252">
        <v>0.15</v>
      </c>
      <c r="D358" s="3252">
        <v>0.15</v>
      </c>
      <c r="E358" s="3252">
        <v>0.15</v>
      </c>
      <c r="F358" s="3252">
        <v>0.15</v>
      </c>
      <c r="G358" s="3253">
        <v>0.15</v>
      </c>
    </row>
    <row r="359" spans="1:7">
      <c r="A359" s="3266" t="s">
        <v>2848</v>
      </c>
      <c r="B359" s="3255" t="s">
        <v>2868</v>
      </c>
      <c r="C359" s="3256">
        <v>0.1</v>
      </c>
      <c r="D359" s="3256">
        <v>0.1</v>
      </c>
      <c r="E359" s="3256">
        <v>0.1</v>
      </c>
      <c r="F359" s="3256">
        <v>0.1</v>
      </c>
      <c r="G359" s="3257">
        <v>0.1</v>
      </c>
    </row>
    <row r="360" spans="1:7">
      <c r="A360" s="3266" t="s">
        <v>2848</v>
      </c>
      <c r="B360" s="3255" t="s">
        <v>2874</v>
      </c>
      <c r="C360" s="3256">
        <v>0.15</v>
      </c>
      <c r="D360" s="3256">
        <v>0.15</v>
      </c>
      <c r="E360" s="3256">
        <v>0.15</v>
      </c>
      <c r="F360" s="3256">
        <v>0.14899999999999999</v>
      </c>
      <c r="G360" s="3257">
        <v>0.15</v>
      </c>
    </row>
    <row r="361" spans="1:7">
      <c r="A361" s="3266" t="s">
        <v>2848</v>
      </c>
      <c r="B361" s="3255" t="s">
        <v>153</v>
      </c>
      <c r="C361" s="3256">
        <v>0.15</v>
      </c>
      <c r="D361" s="3256">
        <v>0.15</v>
      </c>
      <c r="E361" s="3256">
        <v>0.15</v>
      </c>
      <c r="F361" s="3256">
        <v>0.115</v>
      </c>
      <c r="G361" s="3257">
        <v>0.15</v>
      </c>
    </row>
    <row r="362" spans="1:7">
      <c r="A362" s="3266" t="s">
        <v>2848</v>
      </c>
      <c r="B362" s="3255" t="s">
        <v>2881</v>
      </c>
      <c r="C362" s="3256">
        <v>0.15</v>
      </c>
      <c r="D362" s="3256">
        <v>0.15</v>
      </c>
      <c r="E362" s="3256">
        <v>0.15</v>
      </c>
      <c r="F362" s="3256">
        <v>0.106</v>
      </c>
      <c r="G362" s="3257">
        <v>0.15</v>
      </c>
    </row>
    <row r="363" spans="1:7">
      <c r="A363" s="3266" t="s">
        <v>2848</v>
      </c>
      <c r="B363" s="3255" t="s">
        <v>2886</v>
      </c>
      <c r="C363" s="3256">
        <v>0.15</v>
      </c>
      <c r="D363" s="3256">
        <v>0.15</v>
      </c>
      <c r="E363" s="3256">
        <v>0.15</v>
      </c>
      <c r="F363" s="3256">
        <v>0.14699999999999999</v>
      </c>
      <c r="G363" s="3257">
        <v>0.15</v>
      </c>
    </row>
    <row r="364" spans="1:7">
      <c r="A364" s="3266" t="s">
        <v>2848</v>
      </c>
      <c r="B364" s="3255" t="s">
        <v>2890</v>
      </c>
      <c r="C364" s="3256">
        <v>0.15</v>
      </c>
      <c r="D364" s="3256">
        <v>0.15</v>
      </c>
      <c r="E364" s="3256">
        <v>0.15</v>
      </c>
      <c r="F364" s="3256">
        <v>0.14799999999999999</v>
      </c>
      <c r="G364" s="3257">
        <v>0.15</v>
      </c>
    </row>
    <row r="365" spans="1:7">
      <c r="A365" s="3266" t="s">
        <v>2848</v>
      </c>
      <c r="B365" s="3255" t="s">
        <v>200</v>
      </c>
      <c r="C365" s="3256">
        <v>0.15</v>
      </c>
      <c r="D365" s="3256">
        <v>0.15</v>
      </c>
      <c r="E365" s="3256">
        <v>0.15</v>
      </c>
      <c r="F365" s="3256">
        <v>0.15</v>
      </c>
      <c r="G365" s="3257">
        <v>0.15</v>
      </c>
    </row>
    <row r="366" spans="1:7">
      <c r="A366" s="3266" t="s">
        <v>2848</v>
      </c>
      <c r="B366" s="3255" t="s">
        <v>2893</v>
      </c>
      <c r="C366" s="3256">
        <v>0.15</v>
      </c>
      <c r="D366" s="3256">
        <v>0.15</v>
      </c>
      <c r="E366" s="3256">
        <v>0.15</v>
      </c>
      <c r="F366" s="3256">
        <v>0.15</v>
      </c>
      <c r="G366" s="3257">
        <v>0.15</v>
      </c>
    </row>
    <row r="367" spans="1:7">
      <c r="A367" s="3266" t="s">
        <v>2848</v>
      </c>
      <c r="B367" s="3255" t="s">
        <v>2896</v>
      </c>
      <c r="C367" s="3256">
        <v>0.15</v>
      </c>
      <c r="D367" s="3256">
        <v>0.15</v>
      </c>
      <c r="E367" s="3256">
        <v>0.15</v>
      </c>
      <c r="F367" s="3256">
        <v>0.14699999999999999</v>
      </c>
      <c r="G367" s="3257">
        <v>0.15</v>
      </c>
    </row>
    <row r="368" spans="1:7">
      <c r="A368" s="3266" t="s">
        <v>2848</v>
      </c>
      <c r="B368" s="3255" t="s">
        <v>2901</v>
      </c>
      <c r="C368" s="3256">
        <v>0.15</v>
      </c>
      <c r="D368" s="3256">
        <v>0.15</v>
      </c>
      <c r="E368" s="3256">
        <v>0.15</v>
      </c>
      <c r="F368" s="3256">
        <v>0.13600000000000001</v>
      </c>
      <c r="G368" s="3257">
        <v>0.15</v>
      </c>
    </row>
    <row r="369" spans="1:7">
      <c r="A369" s="3266" t="s">
        <v>2848</v>
      </c>
      <c r="B369" s="3255" t="s">
        <v>214</v>
      </c>
      <c r="C369" s="3256">
        <v>0.15</v>
      </c>
      <c r="D369" s="3256">
        <v>0.15</v>
      </c>
      <c r="E369" s="3256">
        <v>0.15</v>
      </c>
      <c r="F369" s="3256">
        <v>0.14399999999999999</v>
      </c>
      <c r="G369" s="3257">
        <v>0.15</v>
      </c>
    </row>
    <row r="370" spans="1:7">
      <c r="A370" s="3266" t="s">
        <v>2848</v>
      </c>
      <c r="B370" s="3255" t="s">
        <v>221</v>
      </c>
      <c r="C370" s="3256">
        <v>0.15</v>
      </c>
      <c r="D370" s="3256">
        <v>0.15</v>
      </c>
      <c r="E370" s="3256">
        <v>0.15</v>
      </c>
      <c r="F370" s="3256">
        <v>0.14599999999999999</v>
      </c>
      <c r="G370" s="3257">
        <v>0.15</v>
      </c>
    </row>
    <row r="371" spans="1:7">
      <c r="A371" s="3266" t="s">
        <v>2848</v>
      </c>
      <c r="B371" s="3255" t="s">
        <v>229</v>
      </c>
      <c r="C371" s="3256">
        <v>0.15</v>
      </c>
      <c r="D371" s="3256">
        <v>0.15</v>
      </c>
      <c r="E371" s="3256">
        <v>0.15</v>
      </c>
      <c r="F371" s="3256">
        <v>0.12</v>
      </c>
      <c r="G371" s="3257">
        <v>0.15</v>
      </c>
    </row>
    <row r="372" spans="1:7">
      <c r="A372" s="3266" t="s">
        <v>2848</v>
      </c>
      <c r="B372" s="3255" t="s">
        <v>2909</v>
      </c>
      <c r="C372" s="3256">
        <v>0.15</v>
      </c>
      <c r="D372" s="3256">
        <v>0.15</v>
      </c>
      <c r="E372" s="3256">
        <v>0.15</v>
      </c>
      <c r="F372" s="3256">
        <v>0.14299999999999999</v>
      </c>
      <c r="G372" s="3257">
        <v>0.15</v>
      </c>
    </row>
    <row r="373" spans="1:7">
      <c r="A373" s="3266" t="s">
        <v>2848</v>
      </c>
      <c r="B373" s="3255" t="s">
        <v>258</v>
      </c>
      <c r="C373" s="3256">
        <v>0.15</v>
      </c>
      <c r="D373" s="3256">
        <v>0.15</v>
      </c>
      <c r="E373" s="3256">
        <v>0.15</v>
      </c>
      <c r="F373" s="3256">
        <v>0.14599999999999999</v>
      </c>
      <c r="G373" s="3257">
        <v>0.15</v>
      </c>
    </row>
    <row r="374" spans="1:7">
      <c r="A374" s="3266" t="s">
        <v>2848</v>
      </c>
      <c r="B374" s="3255" t="s">
        <v>266</v>
      </c>
      <c r="C374" s="3256">
        <v>0.15</v>
      </c>
      <c r="D374" s="3256">
        <v>0.15</v>
      </c>
      <c r="E374" s="3256">
        <v>0.15</v>
      </c>
      <c r="F374" s="3256">
        <v>0.14399999999999999</v>
      </c>
      <c r="G374" s="3257">
        <v>0.15</v>
      </c>
    </row>
    <row r="375" spans="1:7">
      <c r="A375" s="3266" t="s">
        <v>2848</v>
      </c>
      <c r="B375" s="3255" t="s">
        <v>2917</v>
      </c>
      <c r="C375" s="3256">
        <v>0.15</v>
      </c>
      <c r="D375" s="3256">
        <v>0.15</v>
      </c>
      <c r="E375" s="3256">
        <v>0.15</v>
      </c>
      <c r="F375" s="3256">
        <v>0.13</v>
      </c>
      <c r="G375" s="3257">
        <v>0.15</v>
      </c>
    </row>
    <row r="376" spans="1:7">
      <c r="A376" s="3266" t="s">
        <v>2848</v>
      </c>
      <c r="B376" s="3255" t="s">
        <v>277</v>
      </c>
      <c r="C376" s="3256">
        <v>0.15</v>
      </c>
      <c r="D376" s="3256">
        <v>0.15</v>
      </c>
      <c r="E376" s="3256">
        <v>0.15</v>
      </c>
      <c r="F376" s="3256">
        <v>0.14199999999999999</v>
      </c>
      <c r="G376" s="3257">
        <v>0.15</v>
      </c>
    </row>
    <row r="377" spans="1:7" ht="14.25" thickBot="1">
      <c r="A377" s="3269" t="s">
        <v>2848</v>
      </c>
      <c r="B377" s="3259" t="s">
        <v>2923</v>
      </c>
      <c r="C377" s="3260">
        <v>0.15</v>
      </c>
      <c r="D377" s="3260">
        <v>0.15</v>
      </c>
      <c r="E377" s="3260">
        <v>0.15</v>
      </c>
      <c r="F377" s="3260">
        <v>0.14000000000000001</v>
      </c>
      <c r="G377" s="3262">
        <v>0.15</v>
      </c>
    </row>
    <row r="378" spans="1:7">
      <c r="A378" s="3265" t="s">
        <v>2849</v>
      </c>
      <c r="B378" s="3251" t="s">
        <v>2863</v>
      </c>
      <c r="C378" s="3252">
        <v>0.15</v>
      </c>
      <c r="D378" s="3252">
        <v>0.15</v>
      </c>
      <c r="E378" s="3252">
        <v>0.15</v>
      </c>
      <c r="F378" s="3252">
        <v>0.107</v>
      </c>
      <c r="G378" s="3253">
        <v>0.15</v>
      </c>
    </row>
    <row r="379" spans="1:7">
      <c r="A379" s="3266" t="s">
        <v>2849</v>
      </c>
      <c r="B379" s="3255" t="s">
        <v>2869</v>
      </c>
      <c r="C379" s="3256">
        <v>0.15</v>
      </c>
      <c r="D379" s="3256">
        <v>0.15</v>
      </c>
      <c r="E379" s="3256">
        <v>0.15</v>
      </c>
      <c r="F379" s="3256">
        <v>0.115</v>
      </c>
      <c r="G379" s="3257">
        <v>0.14899999999999999</v>
      </c>
    </row>
    <row r="380" spans="1:7">
      <c r="A380" s="3266" t="s">
        <v>2849</v>
      </c>
      <c r="B380" s="3255" t="s">
        <v>2875</v>
      </c>
      <c r="C380" s="3256">
        <v>0.15</v>
      </c>
      <c r="D380" s="3256">
        <v>0.15</v>
      </c>
      <c r="E380" s="3256">
        <v>0.15</v>
      </c>
      <c r="F380" s="3256">
        <v>0.1</v>
      </c>
      <c r="G380" s="3257">
        <v>0.14799999999999999</v>
      </c>
    </row>
    <row r="381" spans="1:7">
      <c r="A381" s="3266" t="s">
        <v>2849</v>
      </c>
      <c r="B381" s="3255" t="s">
        <v>2878</v>
      </c>
      <c r="C381" s="3256">
        <v>0.15</v>
      </c>
      <c r="D381" s="3256">
        <v>0.15</v>
      </c>
      <c r="E381" s="3256">
        <v>0.15</v>
      </c>
      <c r="F381" s="3256">
        <v>0.126</v>
      </c>
      <c r="G381" s="3257">
        <v>0.15</v>
      </c>
    </row>
    <row r="382" spans="1:7">
      <c r="A382" s="3266" t="s">
        <v>2849</v>
      </c>
      <c r="B382" s="3255" t="s">
        <v>2882</v>
      </c>
      <c r="C382" s="3256">
        <v>0.15</v>
      </c>
      <c r="D382" s="3256">
        <v>0.15</v>
      </c>
      <c r="E382" s="3256">
        <v>0.15</v>
      </c>
      <c r="F382" s="3256">
        <v>0.15</v>
      </c>
      <c r="G382" s="3257">
        <v>0.15</v>
      </c>
    </row>
    <row r="383" spans="1:7">
      <c r="A383" s="3266" t="s">
        <v>2849</v>
      </c>
      <c r="B383" s="3255" t="s">
        <v>2887</v>
      </c>
      <c r="C383" s="3256">
        <v>0.15</v>
      </c>
      <c r="D383" s="3256">
        <v>0.15</v>
      </c>
      <c r="E383" s="3256">
        <v>0.15</v>
      </c>
      <c r="F383" s="3256">
        <v>0.14699999999999999</v>
      </c>
      <c r="G383" s="3257">
        <v>0.15</v>
      </c>
    </row>
    <row r="384" spans="1:7" ht="14.25" thickBot="1">
      <c r="A384" s="3276" t="s">
        <v>2849</v>
      </c>
      <c r="B384" s="3277" t="s">
        <v>2891</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52" t="s">
        <v>3230</v>
      </c>
      <c r="B1" s="3852"/>
      <c r="C1" s="3852"/>
      <c r="D1" s="3852"/>
      <c r="E1" s="3852"/>
      <c r="F1" s="3853"/>
    </row>
    <row r="2" spans="1:6">
      <c r="A2" s="3282" t="s">
        <v>3231</v>
      </c>
      <c r="B2" s="3283"/>
      <c r="C2" s="3283"/>
      <c r="D2" s="3283"/>
      <c r="E2" s="3283"/>
      <c r="F2" s="3283"/>
    </row>
    <row r="3" spans="1:6">
      <c r="A3" s="3282" t="s">
        <v>3232</v>
      </c>
      <c r="B3" s="3283"/>
      <c r="C3" s="3283"/>
      <c r="D3" s="3283"/>
      <c r="E3" s="3283"/>
      <c r="F3" s="3284" t="s">
        <v>3233</v>
      </c>
    </row>
    <row r="4" spans="1:6">
      <c r="A4" s="3285" t="s">
        <v>672</v>
      </c>
      <c r="B4" s="3285" t="s">
        <v>673</v>
      </c>
      <c r="C4" s="3285" t="s">
        <v>21</v>
      </c>
      <c r="D4" s="3285" t="s">
        <v>674</v>
      </c>
      <c r="E4" s="3285" t="s">
        <v>3</v>
      </c>
      <c r="F4" s="3285" t="s">
        <v>3234</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2">
        <f>基准地价修正!G23</f>
        <v>45124</v>
      </c>
      <c r="B1" s="3201" t="s">
        <v>2836</v>
      </c>
      <c r="C1" s="3202"/>
      <c r="D1" s="3202"/>
      <c r="E1" s="3202"/>
      <c r="F1" s="3202"/>
      <c r="G1" s="3202"/>
      <c r="H1" s="3202"/>
      <c r="I1" s="3202"/>
      <c r="J1" s="3156"/>
      <c r="K1" s="3202" t="s">
        <v>454</v>
      </c>
      <c r="L1" s="3202"/>
      <c r="M1" s="3202"/>
      <c r="N1" s="3202"/>
      <c r="O1" s="3202"/>
      <c r="P1" s="3202"/>
      <c r="Q1" s="3156"/>
      <c r="R1" s="3854" t="s">
        <v>456</v>
      </c>
      <c r="S1" s="3855"/>
      <c r="T1" s="3855"/>
      <c r="U1" s="3855"/>
      <c r="V1" s="3855"/>
      <c r="W1" s="3855"/>
      <c r="X1" s="3156"/>
      <c r="Y1" s="3854" t="s">
        <v>457</v>
      </c>
      <c r="Z1" s="3855"/>
      <c r="AA1" s="3855"/>
      <c r="AB1" s="3855"/>
      <c r="AC1" s="3855"/>
      <c r="AD1" s="3855"/>
    </row>
    <row r="2" spans="1:30" s="3134" customFormat="1" ht="14.25" thickBot="1">
      <c r="B2" s="3135"/>
      <c r="C2" s="3136"/>
      <c r="D2" s="3137" t="s">
        <v>2806</v>
      </c>
      <c r="E2" s="3138" t="s">
        <v>2807</v>
      </c>
      <c r="F2" s="3138" t="s">
        <v>2808</v>
      </c>
      <c r="G2" s="3138" t="s">
        <v>2809</v>
      </c>
      <c r="H2" s="3138" t="s">
        <v>2810</v>
      </c>
      <c r="I2" s="3138" t="s">
        <v>2627</v>
      </c>
      <c r="J2" s="3139"/>
      <c r="K2" s="3137" t="s">
        <v>2806</v>
      </c>
      <c r="L2" s="3138" t="s">
        <v>2807</v>
      </c>
      <c r="M2" s="3138" t="s">
        <v>2808</v>
      </c>
      <c r="N2" s="3138" t="s">
        <v>2809</v>
      </c>
      <c r="O2" s="3138" t="s">
        <v>2811</v>
      </c>
      <c r="P2" s="3138" t="s">
        <v>2627</v>
      </c>
      <c r="Q2" s="3139"/>
      <c r="R2" s="3137" t="s">
        <v>2806</v>
      </c>
      <c r="S2" s="3138" t="s">
        <v>2807</v>
      </c>
      <c r="T2" s="3138" t="s">
        <v>2808</v>
      </c>
      <c r="U2" s="3138" t="s">
        <v>2812</v>
      </c>
      <c r="V2" s="3138" t="s">
        <v>2813</v>
      </c>
      <c r="W2" s="3138" t="s">
        <v>2627</v>
      </c>
      <c r="X2" s="3139"/>
      <c r="Y2" s="3137" t="s">
        <v>2806</v>
      </c>
      <c r="Z2" s="3138" t="s">
        <v>2807</v>
      </c>
      <c r="AA2" s="3138" t="s">
        <v>2808</v>
      </c>
      <c r="AB2" s="3138" t="s">
        <v>2814</v>
      </c>
      <c r="AC2" s="3138" t="s">
        <v>2813</v>
      </c>
      <c r="AD2" s="3138" t="s">
        <v>2627</v>
      </c>
    </row>
    <row r="3" spans="1:30" s="3152" customFormat="1" ht="12.75">
      <c r="A3" s="3140" t="s">
        <v>2815</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3367</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3368</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3366</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3369</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3370</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3362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3353</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2816</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2817</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2818</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2819</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2820</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3364</v>
      </c>
    </row>
    <row r="19" spans="1:30" s="3000" customFormat="1">
      <c r="I19" s="3199" t="s">
        <v>2821</v>
      </c>
    </row>
    <row r="20" spans="1:30" s="3000" customFormat="1"/>
    <row r="21" spans="1:30" s="3200" customFormat="1" ht="12.75">
      <c r="B21" s="3201" t="s">
        <v>2822</v>
      </c>
      <c r="C21" s="3202"/>
      <c r="D21" s="3202"/>
      <c r="E21" s="3202"/>
      <c r="F21" s="3202"/>
      <c r="G21" s="3202"/>
      <c r="H21" s="3202"/>
      <c r="I21" s="3202"/>
      <c r="J21" s="3156"/>
      <c r="K21" s="3202" t="s">
        <v>2823</v>
      </c>
      <c r="L21" s="3202"/>
      <c r="M21" s="3202"/>
      <c r="N21" s="3202"/>
      <c r="O21" s="3202"/>
      <c r="P21" s="3202"/>
      <c r="Q21" s="3156"/>
      <c r="R21" s="3854" t="s">
        <v>2824</v>
      </c>
      <c r="S21" s="3855"/>
      <c r="T21" s="3855"/>
      <c r="U21" s="3855"/>
      <c r="V21" s="3855"/>
      <c r="W21" s="3855"/>
      <c r="X21" s="3156"/>
      <c r="Y21" s="3854" t="s">
        <v>2825</v>
      </c>
      <c r="Z21" s="3855"/>
      <c r="AA21" s="3855"/>
      <c r="AB21" s="3855"/>
      <c r="AC21" s="3855"/>
      <c r="AD21" s="3855"/>
    </row>
    <row r="22" spans="1:30" s="3134" customFormat="1" ht="14.25" thickBot="1">
      <c r="B22" s="3135"/>
      <c r="C22" s="3136"/>
      <c r="D22" s="3137" t="s">
        <v>2826</v>
      </c>
      <c r="E22" s="3138" t="s">
        <v>2827</v>
      </c>
      <c r="F22" s="3138" t="s">
        <v>2828</v>
      </c>
      <c r="G22" s="3138" t="s">
        <v>2829</v>
      </c>
      <c r="H22" s="3138"/>
      <c r="I22" s="3138" t="s">
        <v>2830</v>
      </c>
      <c r="J22" s="3139"/>
      <c r="K22" s="3137" t="s">
        <v>2826</v>
      </c>
      <c r="L22" s="3138" t="s">
        <v>2827</v>
      </c>
      <c r="M22" s="3138" t="s">
        <v>2828</v>
      </c>
      <c r="N22" s="3138" t="s">
        <v>2829</v>
      </c>
      <c r="O22" s="3138"/>
      <c r="P22" s="3138" t="s">
        <v>2830</v>
      </c>
      <c r="Q22" s="3139"/>
      <c r="R22" s="3137" t="s">
        <v>2826</v>
      </c>
      <c r="S22" s="3138" t="s">
        <v>2827</v>
      </c>
      <c r="T22" s="3138" t="s">
        <v>2828</v>
      </c>
      <c r="U22" s="3138" t="s">
        <v>2829</v>
      </c>
      <c r="V22" s="3138"/>
      <c r="W22" s="3138" t="s">
        <v>2830</v>
      </c>
      <c r="X22" s="3139"/>
      <c r="Y22" s="3137" t="s">
        <v>2826</v>
      </c>
      <c r="Z22" s="3138" t="s">
        <v>2827</v>
      </c>
      <c r="AA22" s="3138" t="s">
        <v>2828</v>
      </c>
      <c r="AB22" s="3138" t="s">
        <v>2829</v>
      </c>
      <c r="AC22" s="3138"/>
      <c r="AD22" s="3138" t="s">
        <v>2830</v>
      </c>
    </row>
    <row r="23" spans="1:30" s="3152" customFormat="1" ht="12.75">
      <c r="A23" s="3140" t="s">
        <v>2831</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3367</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1.0344</v>
      </c>
      <c r="T25" s="3174">
        <f>ROUND(IF([2]项目基本情况!$B$8="出让",SUMPRODUCT(PRODUCT(1+M25:M$36)),SUMPRODUCT(PRODUCT(1+M25:M$35))),4)</f>
        <v>1.0224</v>
      </c>
      <c r="U25" s="3174">
        <f>ROUND(IF([2]项目基本情况!$B$8="出让",SUMPRODUCT(PRODUCT(1+N25:N$36)),SUMPRODUCT(PRODUCT(1+N25:N$35))),4)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3368</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1.0344</v>
      </c>
      <c r="T26" s="3174">
        <f>ROUND(IF([2]项目基本情况!$B$8="出让",SUMPRODUCT(PRODUCT(1+M26:M$36)),SUMPRODUCT(PRODUCT(1+M26:M$35))),4)</f>
        <v>1.0224</v>
      </c>
      <c r="U26" s="3174">
        <f>ROUND(IF([2]项目基本情况!$B$8="出让",SUMPRODUCT(PRODUCT(1+N26:N$36)),SUMPRODUCT(PRODUCT(1+N26:N$35))),4)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3366</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ROUND(IF([2]项目基本情况!$B$8="出让",SUMPRODUCT(PRODUCT(1+L27:L$36)),SUMPRODUCT(PRODUCT(1+L27:L$35))),4)</f>
        <v>1.0344</v>
      </c>
      <c r="T27" s="3174">
        <f>ROUND(IF([2]项目基本情况!$B$8="出让",SUMPRODUCT(PRODUCT(1+M27:M$36)),SUMPRODUCT(PRODUCT(1+M27:M$35))),4)</f>
        <v>1.0224</v>
      </c>
      <c r="U27" s="3174">
        <f>ROUND(IF([2]项目基本情况!$B$8="出让",SUMPRODUCT(PRODUCT(1+N27:N$36)),SUMPRODUCT(PRODUCT(1+N27:N$35))),4)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3369</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3370</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3363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3353</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2832</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2833</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2834</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2835</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2820</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61" t="s">
        <v>452</v>
      </c>
      <c r="C1" s="3861"/>
      <c r="D1" s="3861"/>
      <c r="E1" s="3861"/>
      <c r="F1" s="3861"/>
      <c r="G1" s="3857" t="s">
        <v>453</v>
      </c>
      <c r="H1" s="3857"/>
      <c r="I1" s="3857"/>
      <c r="J1" s="3857"/>
      <c r="K1" s="3857"/>
      <c r="L1" s="3857"/>
      <c r="N1" s="3857" t="s">
        <v>454</v>
      </c>
      <c r="O1" s="3857"/>
      <c r="P1" s="3857"/>
      <c r="Q1" s="3857"/>
      <c r="S1" s="3857" t="s">
        <v>455</v>
      </c>
      <c r="T1" s="3857"/>
      <c r="U1" s="3857"/>
      <c r="V1" s="3857"/>
      <c r="X1" s="3856" t="s">
        <v>456</v>
      </c>
      <c r="Y1" s="3857"/>
      <c r="Z1" s="3857"/>
      <c r="AA1" s="3857"/>
      <c r="AB1" s="3857"/>
      <c r="AD1" s="3856" t="s">
        <v>457</v>
      </c>
      <c r="AE1" s="3857"/>
      <c r="AF1" s="3857"/>
      <c r="AG1" s="3857"/>
      <c r="AH1" s="3857"/>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2110</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3361</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7">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3358</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7">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2111</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3359</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7">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3360</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7">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2432</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6">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2309</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1">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2308</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0">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2307</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4">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2304</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3">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2303</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0">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2126</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2124</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2123</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2122</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2120</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2119</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2121</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59">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2117</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59"/>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2116</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59"/>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2109</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66"/>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2107</v>
      </c>
      <c r="B25" s="2213">
        <v>439</v>
      </c>
      <c r="C25" s="2213">
        <v>327</v>
      </c>
      <c r="D25" s="2213">
        <f>C25</f>
        <v>327</v>
      </c>
      <c r="E25" s="2213">
        <v>627</v>
      </c>
      <c r="F25" s="2214">
        <v>283</v>
      </c>
      <c r="G25" s="3862">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2108</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59"/>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59"/>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66"/>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62">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59"/>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59"/>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60"/>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58">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59"/>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59"/>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60"/>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58">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59"/>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59"/>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60"/>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63">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64"/>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64"/>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65"/>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58">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59"/>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59"/>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60"/>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58">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59">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59">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60">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58">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59">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59">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60">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58">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59">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59">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60">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58">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59">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59">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60">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58">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59">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59">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60">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58">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59">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59">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60">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58">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59">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59">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60">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58">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59">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59">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60">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58">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59">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59">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60">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58">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59">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59">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60">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G28" sqref="G2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45124</v>
      </c>
      <c r="D1" s="1299" t="s">
        <v>603</v>
      </c>
      <c r="E1" s="1294">
        <f>'数据-取费表'!B22</f>
        <v>2</v>
      </c>
      <c r="F1" s="1299" t="s">
        <v>604</v>
      </c>
      <c r="G1" s="1295">
        <f ca="1">INDIRECT("d"&amp;$K$1)/100</f>
        <v>3.5499999999999997E-2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45097</v>
      </c>
      <c r="D13" s="2813">
        <v>3.55</v>
      </c>
      <c r="E13" s="2813">
        <f>D13</f>
        <v>3.55</v>
      </c>
      <c r="F13" s="2813">
        <f>D13</f>
        <v>3.55</v>
      </c>
      <c r="G13" s="2813">
        <f>D13</f>
        <v>3.55</v>
      </c>
      <c r="H13" s="2813">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44795</v>
      </c>
      <c r="D14" s="2808">
        <v>3.65</v>
      </c>
      <c r="E14" s="2808">
        <v>3.65</v>
      </c>
      <c r="F14" s="2808">
        <v>3.65</v>
      </c>
      <c r="G14" s="2808">
        <v>3.65</v>
      </c>
      <c r="H14" s="2808">
        <v>4.3</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44701</v>
      </c>
      <c r="D15" s="2808">
        <v>3.7</v>
      </c>
      <c r="E15" s="2808">
        <f>D15</f>
        <v>3.7</v>
      </c>
      <c r="F15" s="2808">
        <f>D15</f>
        <v>3.7</v>
      </c>
      <c r="G15" s="2808">
        <f>D15</f>
        <v>3.7</v>
      </c>
      <c r="H15" s="2808">
        <v>4.45</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9">
        <v>44581</v>
      </c>
      <c r="D16" s="2808">
        <v>3.7</v>
      </c>
      <c r="E16" s="2808">
        <f>D16</f>
        <v>3.7</v>
      </c>
      <c r="F16" s="2808">
        <f>D16</f>
        <v>3.7</v>
      </c>
      <c r="G16" s="2808">
        <f>D16</f>
        <v>3.7</v>
      </c>
      <c r="H16" s="2808">
        <v>4.5999999999999996</v>
      </c>
      <c r="I16" s="2813"/>
      <c r="J16" s="2813"/>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44550</v>
      </c>
      <c r="D17" s="2808">
        <v>3.8</v>
      </c>
      <c r="E17" s="2808">
        <f>D17</f>
        <v>3.8</v>
      </c>
      <c r="F17" s="2808">
        <f>D17</f>
        <v>3.8</v>
      </c>
      <c r="G17" s="2808">
        <f>D17</f>
        <v>3.8</v>
      </c>
      <c r="H17" s="2808">
        <v>4.6500000000000004</v>
      </c>
      <c r="I17" s="2808"/>
      <c r="J17" s="2813"/>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43941</v>
      </c>
      <c r="D18" s="2808">
        <v>3.85</v>
      </c>
      <c r="E18" s="2808">
        <v>3.85</v>
      </c>
      <c r="F18" s="2808">
        <v>3.85</v>
      </c>
      <c r="G18" s="2808">
        <v>3.85</v>
      </c>
      <c r="H18" s="2808">
        <v>4.6500000000000004</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43881</v>
      </c>
      <c r="D19" s="2808">
        <v>4.05</v>
      </c>
      <c r="E19" s="2808">
        <v>4.05</v>
      </c>
      <c r="F19" s="2808">
        <v>4.05</v>
      </c>
      <c r="G19" s="2808">
        <v>4.05</v>
      </c>
      <c r="H19" s="2808">
        <v>4.75</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43789</v>
      </c>
      <c r="D20" s="2808">
        <v>4.1500000000000004</v>
      </c>
      <c r="E20" s="2808">
        <v>4.1500000000000004</v>
      </c>
      <c r="F20" s="2808">
        <v>4.1500000000000004</v>
      </c>
      <c r="G20" s="2808">
        <v>4.1500000000000004</v>
      </c>
      <c r="H20" s="2808">
        <v>4.8</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8"/>
      <c r="C21" s="2809">
        <v>43728</v>
      </c>
      <c r="D21" s="2808">
        <v>4.2</v>
      </c>
      <c r="E21" s="2808">
        <v>4.2</v>
      </c>
      <c r="F21" s="2808">
        <v>4.2</v>
      </c>
      <c r="G21" s="2808">
        <v>4.2</v>
      </c>
      <c r="H21" s="2808">
        <v>4.8499999999999996</v>
      </c>
      <c r="I21" s="2808"/>
      <c r="J21" s="280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7" t="s">
        <v>2305</v>
      </c>
      <c r="C22" s="2810">
        <v>43697</v>
      </c>
      <c r="D22" s="2811">
        <v>4.25</v>
      </c>
      <c r="E22" s="2811">
        <v>4.25</v>
      </c>
      <c r="F22" s="2811">
        <v>4.25</v>
      </c>
      <c r="G22" s="2811">
        <v>4.25</v>
      </c>
      <c r="H22" s="2811">
        <v>4.8499999999999996</v>
      </c>
      <c r="I22" s="2811"/>
      <c r="J22" s="2811"/>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4"/>
      <c r="B23" s="2815"/>
      <c r="C23" s="2816">
        <v>42301</v>
      </c>
      <c r="D23" s="2817">
        <v>4.3499999999999996</v>
      </c>
      <c r="E23" s="2817">
        <v>4.3499999999999996</v>
      </c>
      <c r="F23" s="2817">
        <v>4.75</v>
      </c>
      <c r="G23" s="2817">
        <v>4.75</v>
      </c>
      <c r="H23" s="2817">
        <v>4.9000000000000004</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25" t="str">
        <f>IF(项目基本情况!B9="房地产市场价值","估价结果一览表","结果表-2")</f>
        <v>结果表-2</v>
      </c>
      <c r="B1" s="3525"/>
      <c r="C1" s="3525"/>
      <c r="D1" s="3525"/>
      <c r="E1" s="3525"/>
      <c r="F1" s="3525"/>
      <c r="G1" s="3525"/>
      <c r="H1" s="3525"/>
      <c r="I1" s="3525"/>
    </row>
    <row r="2" spans="1:9" ht="30" customHeight="1" thickTop="1">
      <c r="A2" s="3526" t="s">
        <v>928</v>
      </c>
      <c r="B2" s="3526" t="s">
        <v>929</v>
      </c>
      <c r="C2" s="3526" t="s">
        <v>930</v>
      </c>
      <c r="D2" s="3526" t="str">
        <f>结果表!D116</f>
        <v>出让国有建设用地使用权价值</v>
      </c>
      <c r="E2" s="3526"/>
      <c r="F2" s="3526" t="str">
        <f>结果表!F116</f>
        <v>在建建筑物价值</v>
      </c>
      <c r="G2" s="3526"/>
      <c r="H2" s="3526" t="str">
        <f>IF(项目基本情况!B9="房地产市场价值","房地产市场价值","房地产价值")</f>
        <v>房地产价值</v>
      </c>
      <c r="I2" s="3526"/>
    </row>
    <row r="3" spans="1:9" ht="15">
      <c r="A3" s="3527"/>
      <c r="B3" s="3527"/>
      <c r="C3" s="3527"/>
      <c r="D3" s="854" t="s">
        <v>925</v>
      </c>
      <c r="E3" s="854" t="s">
        <v>931</v>
      </c>
      <c r="F3" s="854" t="s">
        <v>925</v>
      </c>
      <c r="G3" s="854" t="s">
        <v>926</v>
      </c>
      <c r="H3" s="854" t="s">
        <v>925</v>
      </c>
      <c r="I3" s="854" t="s">
        <v>926</v>
      </c>
    </row>
    <row r="4" spans="1:9" ht="15">
      <c r="A4" s="1502" t="str">
        <f>项目基本情况!S2</f>
        <v>北京市房地产</v>
      </c>
      <c r="B4" s="854">
        <f>项目基本情况!C17</f>
        <v>155268.5</v>
      </c>
      <c r="C4" s="854">
        <f>项目基本情况!C18</f>
        <v>53629.25</v>
      </c>
      <c r="D4" s="854">
        <f ca="1">结果表!D118</f>
        <v>155566</v>
      </c>
      <c r="E4" s="854">
        <f ca="1">结果表!E118</f>
        <v>10019</v>
      </c>
      <c r="F4" s="854">
        <f ca="1">结果表!F118</f>
        <v>33228</v>
      </c>
      <c r="G4" s="854">
        <f ca="1">结果表!G118</f>
        <v>2140</v>
      </c>
      <c r="H4" s="854">
        <f ca="1">结果表!H118</f>
        <v>188794</v>
      </c>
      <c r="I4" s="854">
        <f ca="1">结果表!I118</f>
        <v>12159</v>
      </c>
    </row>
    <row r="5" spans="1:9" ht="30" customHeight="1">
      <c r="A5" s="3527" t="s">
        <v>927</v>
      </c>
      <c r="B5" s="3527"/>
      <c r="C5" s="3527"/>
      <c r="D5" s="3527" t="str">
        <f ca="1">结果表!D119</f>
        <v>壹拾伍亿伍仟伍佰陆拾陆万元整</v>
      </c>
      <c r="E5" s="3527"/>
      <c r="F5" s="3527" t="str">
        <f ca="1">结果表!F119</f>
        <v>叁亿叁仟贰佰贰拾捌万元整</v>
      </c>
      <c r="G5" s="3527"/>
      <c r="H5" s="3527" t="str">
        <f ca="1">结果表!H119</f>
        <v>壹拾捌亿捌仟柒佰玖拾肆万元整</v>
      </c>
      <c r="I5" s="3527"/>
    </row>
    <row r="6" spans="1:9" ht="15.75">
      <c r="A6" s="3528" t="str">
        <f>结果表!A120</f>
        <v>估价师知悉的法定优先受偿款</v>
      </c>
      <c r="B6" s="3528"/>
      <c r="C6" s="3528"/>
      <c r="D6" s="3528">
        <f>结果表!D120</f>
        <v>0</v>
      </c>
      <c r="E6" s="3528"/>
      <c r="F6" s="3528"/>
      <c r="G6" s="3528"/>
      <c r="H6" s="3528"/>
      <c r="I6" s="3528"/>
    </row>
    <row r="7" spans="1:9" ht="15">
      <c r="A7" s="3527" t="s">
        <v>927</v>
      </c>
      <c r="B7" s="3527"/>
      <c r="C7" s="3527"/>
      <c r="D7" s="3529" t="str">
        <f>结果表!D121</f>
        <v>零元整</v>
      </c>
      <c r="E7" s="3530"/>
      <c r="F7" s="3530"/>
      <c r="G7" s="3530"/>
      <c r="H7" s="3530"/>
      <c r="I7" s="3531"/>
    </row>
    <row r="8" spans="1:9" ht="15.75">
      <c r="A8" s="3528" t="str">
        <f>结果表!A122</f>
        <v>房地产抵押价值</v>
      </c>
      <c r="B8" s="3528"/>
      <c r="C8" s="3528"/>
      <c r="D8" s="3528">
        <f ca="1">结果表!D122</f>
        <v>188794</v>
      </c>
      <c r="E8" s="3528"/>
      <c r="F8" s="3528"/>
      <c r="G8" s="3528"/>
      <c r="H8" s="3528"/>
      <c r="I8" s="3528"/>
    </row>
    <row r="9" spans="1:9" ht="15">
      <c r="A9" s="3527" t="s">
        <v>927</v>
      </c>
      <c r="B9" s="3527"/>
      <c r="C9" s="3527"/>
      <c r="D9" s="3527" t="str">
        <f ca="1">结果表!D123</f>
        <v>壹拾捌亿捌仟柒佰玖拾肆万元整</v>
      </c>
      <c r="E9" s="3527"/>
      <c r="F9" s="3527"/>
      <c r="G9" s="3527"/>
      <c r="H9" s="3527"/>
      <c r="I9" s="3527"/>
    </row>
    <row r="10" spans="1:9" ht="15.75">
      <c r="A10" s="3528" t="str">
        <f>结果表!A124</f>
        <v/>
      </c>
      <c r="B10" s="3528"/>
      <c r="C10" s="3528"/>
      <c r="D10" s="3528" t="str">
        <f>结果表!D124</f>
        <v>——</v>
      </c>
      <c r="E10" s="3528"/>
      <c r="F10" s="3528"/>
      <c r="G10" s="3528"/>
      <c r="H10" s="3528"/>
      <c r="I10" s="3528"/>
    </row>
    <row r="11" spans="1:9" ht="15">
      <c r="A11" s="3527" t="s">
        <v>927</v>
      </c>
      <c r="B11" s="3527"/>
      <c r="C11" s="3527"/>
      <c r="D11" s="3527" t="e">
        <f>结果表!D125</f>
        <v>#VALUE!</v>
      </c>
      <c r="E11" s="3527"/>
      <c r="F11" s="3527"/>
      <c r="G11" s="3527"/>
      <c r="H11" s="3527"/>
      <c r="I11" s="3527"/>
    </row>
    <row r="12" spans="1:9" ht="15.75">
      <c r="A12" s="3528" t="str">
        <f>结果表!A126</f>
        <v/>
      </c>
      <c r="B12" s="3528"/>
      <c r="C12" s="3528"/>
      <c r="D12" s="3528" t="str">
        <f>结果表!D126</f>
        <v>——</v>
      </c>
      <c r="E12" s="3528"/>
      <c r="F12" s="3528"/>
      <c r="G12" s="3528"/>
      <c r="H12" s="3528"/>
      <c r="I12" s="3528"/>
    </row>
    <row r="13" spans="1:9" ht="15.75" thickBot="1">
      <c r="A13" s="3532" t="s">
        <v>927</v>
      </c>
      <c r="B13" s="3532"/>
      <c r="C13" s="3532"/>
      <c r="D13" s="3532" t="e">
        <f>结果表!D127</f>
        <v>#VALUE!</v>
      </c>
      <c r="E13" s="3532"/>
      <c r="F13" s="3532"/>
      <c r="G13" s="3532"/>
      <c r="H13" s="3532"/>
      <c r="I13" s="3532"/>
    </row>
    <row r="14" spans="1:9" ht="15" thickTop="1">
      <c r="A14" s="3533" t="s">
        <v>932</v>
      </c>
      <c r="B14" s="3533"/>
      <c r="C14" s="3533"/>
      <c r="D14" s="3533"/>
      <c r="E14" s="3533"/>
      <c r="F14" s="3533"/>
      <c r="G14" s="3533"/>
      <c r="H14" s="3533"/>
      <c r="I14" s="3533"/>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34" t="s">
        <v>949</v>
      </c>
      <c r="B1" s="3534"/>
      <c r="C1" s="3534"/>
      <c r="D1" s="3534"/>
    </row>
    <row r="2" spans="1:4" ht="18">
      <c r="A2" s="3535" t="s">
        <v>933</v>
      </c>
      <c r="B2" s="3535"/>
      <c r="C2" s="3535"/>
      <c r="D2" s="3535"/>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535" t="s">
        <v>939</v>
      </c>
      <c r="B6" s="3535"/>
      <c r="C6" s="3535"/>
      <c r="D6" s="3535"/>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36" t="s">
        <v>942</v>
      </c>
      <c r="B11" s="3537"/>
      <c r="C11" s="3537"/>
      <c r="D11" s="3537"/>
    </row>
    <row r="12" spans="1:4" ht="15.75">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7" t="str">
        <f>IF(项目基本情况!B8="抵押","4.本次评估估价师所知悉的法定优先受偿款情况说明如下：","——")</f>
        <v>4.本次评估估价师所知悉的法定优先受偿款情况说明如下：</v>
      </c>
      <c r="B14" s="3538"/>
      <c r="C14" s="3538"/>
      <c r="D14" s="3538"/>
    </row>
    <row r="15" spans="1:4" ht="42" customHeight="1">
      <c r="A15" s="35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40" t="s">
        <v>943</v>
      </c>
      <c r="B16" s="3540"/>
      <c r="C16" s="3540"/>
      <c r="D16" s="3540"/>
    </row>
    <row r="17" spans="1:4" ht="144" customHeight="1">
      <c r="A17" s="3540" t="s">
        <v>944</v>
      </c>
      <c r="B17" s="3540"/>
      <c r="C17" s="3540"/>
      <c r="D17" s="3540"/>
    </row>
    <row r="18" spans="1:4" ht="15.75" customHeight="1">
      <c r="A18" s="3537" t="str">
        <f>IF(项目基本情况!B8="抵押",结果表!K120,"——")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7"/>
      <c r="C20" s="3537"/>
      <c r="D20" s="3537"/>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1"/>
      <c r="C21" s="3541"/>
      <c r="D21" s="3541"/>
    </row>
    <row r="22" spans="1:4" ht="18.75" customHeight="1">
      <c r="A22" s="3542" t="s">
        <v>945</v>
      </c>
      <c r="B22" s="3542"/>
      <c r="C22" s="3542"/>
      <c r="D22" s="3542"/>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39">
        <v>42551</v>
      </c>
      <c r="D31" s="35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48" t="s">
        <v>956</v>
      </c>
      <c r="B15" s="3543" t="s">
        <v>109</v>
      </c>
      <c r="C15" s="3544"/>
    </row>
    <row r="16" spans="1:7" ht="13.5">
      <c r="A16" s="3549"/>
      <c r="B16" s="3543" t="s">
        <v>42</v>
      </c>
      <c r="C16" s="3544"/>
    </row>
    <row r="17" spans="1:3" ht="13.5">
      <c r="A17" s="3549"/>
      <c r="B17" s="3546" t="s">
        <v>957</v>
      </c>
      <c r="C17" s="1529" t="s">
        <v>956</v>
      </c>
    </row>
    <row r="18" spans="1:3" ht="13.5">
      <c r="A18" s="3549"/>
      <c r="B18" s="3546"/>
      <c r="C18" s="1529" t="s">
        <v>958</v>
      </c>
    </row>
    <row r="19" spans="1:3" ht="13.5">
      <c r="A19" s="3549"/>
      <c r="B19" s="3546"/>
      <c r="C19" s="1529" t="s">
        <v>959</v>
      </c>
    </row>
    <row r="20" spans="1:3" ht="13.5">
      <c r="A20" s="3550"/>
      <c r="B20" s="3545" t="s">
        <v>960</v>
      </c>
      <c r="C20" s="3544"/>
    </row>
    <row r="21" spans="1:3" ht="13.5">
      <c r="A21" s="1530" t="s">
        <v>961</v>
      </c>
      <c r="B21" s="1531"/>
      <c r="C21" s="1532"/>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29" t="s">
        <v>967</v>
      </c>
    </row>
    <row r="26" spans="1:3" ht="13.5">
      <c r="A26" s="3547"/>
      <c r="B26" s="3546"/>
      <c r="C26" s="1529" t="s">
        <v>968</v>
      </c>
    </row>
    <row r="27" spans="1:3" ht="13.5">
      <c r="A27" s="3547"/>
      <c r="B27" s="3546"/>
      <c r="C27" s="1529" t="s">
        <v>969</v>
      </c>
    </row>
    <row r="28" spans="1:3" ht="13.5">
      <c r="A28" s="3547"/>
      <c r="B28" s="3546"/>
      <c r="C28" s="1529" t="s">
        <v>970</v>
      </c>
    </row>
    <row r="29" spans="1:3" ht="13.5">
      <c r="A29" s="3547"/>
      <c r="B29" s="3546"/>
      <c r="C29" s="1529" t="s">
        <v>971</v>
      </c>
    </row>
    <row r="30" spans="1:3" ht="13.5">
      <c r="A30" s="3547"/>
      <c r="B30" s="3546"/>
      <c r="C30" s="1529" t="s">
        <v>972</v>
      </c>
    </row>
    <row r="31" spans="1:3" ht="13.5">
      <c r="A31" s="3547"/>
      <c r="B31" s="3546"/>
      <c r="C31" s="1529" t="s">
        <v>973</v>
      </c>
    </row>
    <row r="32" spans="1:3" ht="13.5">
      <c r="A32" s="3547"/>
      <c r="B32" s="3546"/>
      <c r="C32" s="1529" t="s">
        <v>974</v>
      </c>
    </row>
    <row r="33" spans="1:3" ht="13.5">
      <c r="A33" s="3547"/>
      <c r="B33" s="3546"/>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2135</v>
      </c>
      <c r="B2" s="2332">
        <f ca="1">TODAY()</f>
        <v>45126</v>
      </c>
      <c r="C2" s="2333" t="s">
        <v>2136</v>
      </c>
      <c r="D2" s="2333"/>
      <c r="E2" s="2333"/>
      <c r="F2" s="2329"/>
      <c r="G2" s="2329"/>
      <c r="H2" s="2329"/>
    </row>
    <row r="3" spans="1:8" ht="24" customHeight="1">
      <c r="A3" s="2334" t="s">
        <v>2137</v>
      </c>
      <c r="B3" s="2335" t="s">
        <v>2138</v>
      </c>
      <c r="C3" s="2335" t="s">
        <v>2139</v>
      </c>
      <c r="D3" s="2336" t="s">
        <v>2140</v>
      </c>
      <c r="E3" s="2337" t="s">
        <v>2141</v>
      </c>
      <c r="F3" s="1301" t="s">
        <v>2142</v>
      </c>
      <c r="G3" s="2335" t="s">
        <v>2139</v>
      </c>
      <c r="H3" s="2336" t="s">
        <v>2143</v>
      </c>
    </row>
    <row r="4" spans="1:8" ht="24" customHeight="1">
      <c r="A4" s="1301" t="s">
        <v>2144</v>
      </c>
      <c r="B4" s="1301">
        <f ca="1">IF(C4&lt;B2,"已过期",1119970066)</f>
        <v>1119970066</v>
      </c>
      <c r="C4" s="2338">
        <v>45937</v>
      </c>
      <c r="D4" s="2339" t="str">
        <f ca="1">A4&amp;"（注册号："&amp;B4&amp;"）"</f>
        <v>梁津（注册号：1119970066）</v>
      </c>
      <c r="E4" s="2340" t="s">
        <v>2144</v>
      </c>
      <c r="F4" s="1301">
        <f ca="1">IF(G4&lt;B2,"已过期",96010014)</f>
        <v>96010014</v>
      </c>
      <c r="G4" s="2341">
        <v>47118</v>
      </c>
      <c r="H4" s="2342" t="str">
        <f ca="1">E4&amp;"（注册号："&amp;F4&amp;"）"</f>
        <v>梁津（注册号：96010014）</v>
      </c>
    </row>
    <row r="5" spans="1:8" ht="24" customHeight="1">
      <c r="A5" s="1301" t="s">
        <v>2145</v>
      </c>
      <c r="B5" s="1301">
        <f ca="1">IF(C5&lt;B2,"已过期",1119970111)</f>
        <v>1119970111</v>
      </c>
      <c r="C5" s="2338">
        <v>45937</v>
      </c>
      <c r="D5" s="2339" t="str">
        <f t="shared" ref="D5:D15" ca="1" si="0">A5&amp;"（注册号："&amp;B5&amp;"）"</f>
        <v>叶凌（注册号：1119970111）</v>
      </c>
      <c r="E5" s="2340" t="s">
        <v>2145</v>
      </c>
      <c r="F5" s="1301">
        <f ca="1">IF(G5&lt;B2,"已过期",94010078)</f>
        <v>94010078</v>
      </c>
      <c r="G5" s="2341">
        <v>46387</v>
      </c>
      <c r="H5" s="2342" t="str">
        <f t="shared" ref="H5:H16" ca="1" si="1">E5&amp;"（注册号："&amp;F5&amp;"）"</f>
        <v>叶凌（注册号：94010078）</v>
      </c>
    </row>
    <row r="6" spans="1:8" ht="24" customHeight="1">
      <c r="A6" s="1301" t="s">
        <v>2146</v>
      </c>
      <c r="B6" s="1301">
        <f ca="1">IF(C6&lt;B2,"已过期",1120050019)</f>
        <v>1120050019</v>
      </c>
      <c r="C6" s="2338">
        <v>45410</v>
      </c>
      <c r="D6" s="2339" t="str">
        <f t="shared" ca="1" si="0"/>
        <v>王鹏（注册号：1120050019）</v>
      </c>
      <c r="E6" s="2340" t="s">
        <v>2146</v>
      </c>
      <c r="F6" s="1301">
        <f ca="1">IF(G6&lt;B2,"已过期",2002110030)</f>
        <v>2002110030</v>
      </c>
      <c r="G6" s="2341">
        <v>46387</v>
      </c>
      <c r="H6" s="2342" t="str">
        <f t="shared" ca="1" si="1"/>
        <v>王鹏（注册号：2002110030）</v>
      </c>
    </row>
    <row r="7" spans="1:8" ht="24" customHeight="1">
      <c r="A7" s="1301" t="s">
        <v>2147</v>
      </c>
      <c r="B7" s="1301">
        <f ca="1">IF(C7&lt;B2,"已过期",1120000080)</f>
        <v>1120000080</v>
      </c>
      <c r="C7" s="2338">
        <v>45937</v>
      </c>
      <c r="D7" s="2339" t="str">
        <f t="shared" ca="1" si="0"/>
        <v>欧红伟（注册号：1120000080）</v>
      </c>
      <c r="E7" s="2340" t="s">
        <v>2147</v>
      </c>
      <c r="F7" s="1301">
        <f ca="1">IF(G7&lt;B2,"已过期",2000110082)</f>
        <v>2000110082</v>
      </c>
      <c r="G7" s="2341">
        <v>46387</v>
      </c>
      <c r="H7" s="2342" t="str">
        <f t="shared" ca="1" si="1"/>
        <v>欧红伟（注册号：2000110082）</v>
      </c>
    </row>
    <row r="8" spans="1:8" ht="24" customHeight="1">
      <c r="A8" s="1301" t="s">
        <v>2148</v>
      </c>
      <c r="B8" s="1301">
        <f ca="1">IF(C8&lt;B2,"已过期",1419970001)</f>
        <v>1419970001</v>
      </c>
      <c r="C8" s="2338">
        <v>45937</v>
      </c>
      <c r="D8" s="2339" t="str">
        <f t="shared" ca="1" si="0"/>
        <v>吴薇（注册号：1419970001）</v>
      </c>
      <c r="E8" s="2340" t="s">
        <v>2148</v>
      </c>
      <c r="F8" s="1301">
        <f ca="1">IF(G8&lt;B2,"已过期",2002110125)</f>
        <v>2002110125</v>
      </c>
      <c r="G8" s="2341">
        <v>47118</v>
      </c>
      <c r="H8" s="2342" t="str">
        <f t="shared" ca="1" si="1"/>
        <v>吴薇（注册号：2002110125）</v>
      </c>
    </row>
    <row r="9" spans="1:8" ht="24" customHeight="1">
      <c r="A9" s="1301" t="s">
        <v>2149</v>
      </c>
      <c r="B9" s="1301">
        <f ca="1">IF(C9&lt;B2,"已过期",1120060040)</f>
        <v>1120060040</v>
      </c>
      <c r="C9" s="2343">
        <v>45592</v>
      </c>
      <c r="D9" s="2339" t="str">
        <f t="shared" ca="1" si="0"/>
        <v>陈颖（注册号：1120060040）</v>
      </c>
      <c r="E9" s="2340" t="s">
        <v>2149</v>
      </c>
      <c r="F9" s="1301">
        <f ca="1">IF(G9&lt;B2,"已过期",2004110096)</f>
        <v>2004110096</v>
      </c>
      <c r="G9" s="2341">
        <v>47118</v>
      </c>
      <c r="H9" s="2342" t="str">
        <f t="shared" ca="1" si="1"/>
        <v>陈颖（注册号：2004110096）</v>
      </c>
    </row>
    <row r="10" spans="1:8" ht="24" customHeight="1">
      <c r="A10" s="1301" t="s">
        <v>2150</v>
      </c>
      <c r="B10" s="1301">
        <f ca="1">IF(C10&lt;B2,"已过期",1120100036)</f>
        <v>1120100036</v>
      </c>
      <c r="C10" s="2343">
        <v>45752</v>
      </c>
      <c r="D10" s="2339" t="str">
        <f t="shared" ca="1" si="0"/>
        <v>崔锴（注册号：1120100036）</v>
      </c>
      <c r="E10" s="2340" t="s">
        <v>2150</v>
      </c>
      <c r="F10" s="1301">
        <f ca="1">IF(G10&lt;B2,"已过期",2010110070)</f>
        <v>2010110070</v>
      </c>
      <c r="G10" s="2341">
        <v>47907</v>
      </c>
      <c r="H10" s="2342" t="str">
        <f t="shared" ca="1" si="1"/>
        <v>崔锴（注册号：2010110070）</v>
      </c>
    </row>
    <row r="11" spans="1:8" ht="24" customHeight="1">
      <c r="A11" s="1301" t="s">
        <v>2151</v>
      </c>
      <c r="B11" s="1301">
        <f ca="1">IF(C11&lt;B2,"已过期",1120070131)</f>
        <v>1120070131</v>
      </c>
      <c r="C11" s="2338">
        <v>45937</v>
      </c>
      <c r="D11" s="2339" t="str">
        <f t="shared" ca="1" si="0"/>
        <v>郑燚（注册号：1120070131）</v>
      </c>
      <c r="E11" s="2340" t="s">
        <v>2151</v>
      </c>
      <c r="F11" s="1301">
        <f ca="1">IF(G11&lt;B2,"已过期",2014110011)</f>
        <v>2014110011</v>
      </c>
      <c r="G11" s="2341">
        <v>49302</v>
      </c>
      <c r="H11" s="2342" t="str">
        <f t="shared" ca="1" si="1"/>
        <v>郑燚（注册号：2014110011）</v>
      </c>
    </row>
    <row r="12" spans="1:8" ht="24" customHeight="1">
      <c r="A12" s="1301" t="s">
        <v>2152</v>
      </c>
      <c r="B12" s="1301">
        <f ca="1">IF(C12&lt;B2,"已过期",1120040230)</f>
        <v>1120040230</v>
      </c>
      <c r="C12" s="2343">
        <v>45937</v>
      </c>
      <c r="D12" s="2339" t="str">
        <f t="shared" ca="1" si="0"/>
        <v>苏海（注册号：1120040230）</v>
      </c>
      <c r="E12" s="2340" t="s">
        <v>2152</v>
      </c>
      <c r="F12" s="1301">
        <f ca="1">IF(G12&lt;B2,"已过期",98030020)</f>
        <v>98030020</v>
      </c>
      <c r="G12" s="2341">
        <v>47118</v>
      </c>
      <c r="H12" s="2342" t="str">
        <f t="shared" ca="1" si="1"/>
        <v>苏海（注册号：98030020）</v>
      </c>
    </row>
    <row r="13" spans="1:8" ht="24" customHeight="1">
      <c r="A13" s="1301" t="s">
        <v>2153</v>
      </c>
      <c r="B13" s="1301">
        <f ca="1">IF(C13&lt;B2,"已过期",1120020033)</f>
        <v>1120020033</v>
      </c>
      <c r="C13" s="2338">
        <v>45375</v>
      </c>
      <c r="D13" s="2339" t="str">
        <f t="shared" ca="1" si="0"/>
        <v>刘敬东（注册号：1120020033）</v>
      </c>
      <c r="E13" s="2340" t="s">
        <v>2153</v>
      </c>
      <c r="F13" s="1301">
        <f ca="1">IF(G13&lt;B2,"已过期",2000110137)</f>
        <v>2000110137</v>
      </c>
      <c r="G13" s="2341">
        <v>46387</v>
      </c>
      <c r="H13" s="2342" t="str">
        <f t="shared" ca="1" si="1"/>
        <v>刘敬东（注册号：2000110137）</v>
      </c>
    </row>
    <row r="14" spans="1:8" ht="24" customHeight="1">
      <c r="A14" s="1301" t="s">
        <v>2154</v>
      </c>
      <c r="B14" s="1301" t="str">
        <f ca="1">IF(C14&lt;B2,"已过期",1119980106)</f>
        <v>已过期</v>
      </c>
      <c r="C14" s="2343">
        <v>44969</v>
      </c>
      <c r="D14" s="2339" t="str">
        <f t="shared" ca="1" si="0"/>
        <v>刘俊财（注册号：已过期）</v>
      </c>
      <c r="E14" s="2340" t="s">
        <v>2154</v>
      </c>
      <c r="F14" s="1301">
        <f ca="1">IF(G14&lt;B2,"已过期",96010063)</f>
        <v>96010063</v>
      </c>
      <c r="G14" s="2341">
        <v>47483</v>
      </c>
      <c r="H14" s="2342" t="str">
        <f t="shared" ca="1" si="1"/>
        <v>刘俊财（注册号：96010063）</v>
      </c>
    </row>
    <row r="15" spans="1:8" ht="24" customHeight="1">
      <c r="A15" s="1301" t="s">
        <v>2433</v>
      </c>
      <c r="B15" s="1301">
        <v>1120210056</v>
      </c>
      <c r="C15" s="2343">
        <v>45410</v>
      </c>
      <c r="D15" s="2339" t="str">
        <f t="shared" si="0"/>
        <v>宁小鳗（注册号：1120210056）</v>
      </c>
      <c r="E15" s="2340" t="s">
        <v>2155</v>
      </c>
      <c r="F15" s="1301">
        <f ca="1">IF(G15&lt;B2,"已过期",2011110090)</f>
        <v>2011110090</v>
      </c>
      <c r="G15" s="2341">
        <v>48302</v>
      </c>
      <c r="H15" s="2342" t="str">
        <f t="shared" ca="1" si="1"/>
        <v>赵雯（注册号：2011110090）</v>
      </c>
    </row>
    <row r="16" spans="1:8" s="2345" customFormat="1" ht="24" customHeight="1">
      <c r="A16" s="1301"/>
      <c r="B16" s="1301"/>
      <c r="C16" s="1301"/>
      <c r="D16" s="2339" t="str">
        <f>A16&amp;"（注册号："&amp;B16&amp;"）"</f>
        <v>（注册号：）</v>
      </c>
      <c r="E16" s="2340"/>
      <c r="F16" s="1301"/>
      <c r="G16" s="1301"/>
      <c r="H16" s="2344" t="str">
        <f t="shared" si="1"/>
        <v>（注册号：）</v>
      </c>
    </row>
    <row r="17" spans="1:8" ht="24" customHeight="1">
      <c r="A17" s="3551" t="s">
        <v>2156</v>
      </c>
      <c r="B17" s="3551"/>
      <c r="C17" s="3551"/>
      <c r="D17" s="3551"/>
      <c r="E17" s="3551"/>
      <c r="F17" s="3551"/>
      <c r="G17" s="3551"/>
      <c r="H17" s="3551"/>
    </row>
    <row r="18" spans="1:8" ht="24" customHeight="1">
      <c r="A18" s="3552" t="s">
        <v>2157</v>
      </c>
      <c r="B18" s="3552"/>
      <c r="C18" s="3552"/>
      <c r="D18" s="2336"/>
      <c r="E18" s="3553" t="s">
        <v>2158</v>
      </c>
      <c r="F18" s="3552"/>
      <c r="G18" s="3552"/>
    </row>
    <row r="19" spans="1:8" s="2347" customFormat="1" ht="24" customHeight="1">
      <c r="A19" s="2346" t="s">
        <v>2159</v>
      </c>
      <c r="B19" s="2335" t="s">
        <v>2160</v>
      </c>
      <c r="C19" s="2335" t="s">
        <v>2139</v>
      </c>
      <c r="D19" s="2336"/>
      <c r="E19" s="2340" t="s">
        <v>2159</v>
      </c>
      <c r="F19" s="2335" t="s">
        <v>2160</v>
      </c>
      <c r="G19" s="2335" t="s">
        <v>2139</v>
      </c>
    </row>
    <row r="20" spans="1:8" s="2347" customFormat="1" ht="24" customHeight="1">
      <c r="A20" s="2348" t="s">
        <v>2161</v>
      </c>
      <c r="B20" s="2348" t="s">
        <v>2162</v>
      </c>
      <c r="C20" s="2341">
        <v>45898</v>
      </c>
      <c r="D20" s="2349"/>
      <c r="E20" s="2350" t="s">
        <v>2163</v>
      </c>
      <c r="F20" s="2353" t="s">
        <v>2434</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土地比较法-工业</vt:lpstr>
      <vt:lpstr>案例</vt:lpstr>
      <vt:lpstr>成本法</vt:lpstr>
      <vt:lpstr>成本法 (元)</vt:lpstr>
      <vt:lpstr>假设开发法</vt:lpstr>
      <vt:lpstr>比较法-住宅</vt:lpstr>
      <vt:lpstr>收益法</vt:lpstr>
      <vt:lpstr>收益法2</vt:lpstr>
      <vt:lpstr>收益法 (元)</vt:lpstr>
      <vt:lpstr>收益法-酒店模型</vt:lpstr>
      <vt:lpstr>收益法（汇总）</vt:lpstr>
      <vt:lpstr>比较法-商业</vt:lpstr>
      <vt:lpstr>比较法-办公</vt:lpstr>
      <vt:lpstr>比较法-工业</vt:lpstr>
      <vt:lpstr>比较法-车位</vt:lpstr>
      <vt:lpstr>比较法-仓储</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2023-07-19T05:22:22Z</dcterms:modified>
</cp:coreProperties>
</file>