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9"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3">结果表!$A$1:$I$146</definedName>
    <definedName name="_xlnm.Print_Area" localSheetId="14">'结果表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'比较法-住宅'!$B$88:$L$88</definedName>
    <definedName name="住宅朝向">'比较法-住宅'!$B$88:$L$88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1" i="1" l="1"/>
  <c r="L30" i="1"/>
  <c r="I24" i="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4" i="61"/>
  <c r="F5" i="61"/>
  <c r="F3" i="61"/>
  <c r="F6" i="61"/>
  <c r="D6" i="61"/>
  <c r="D4" i="61"/>
  <c r="D3" i="61"/>
  <c r="D7" i="61"/>
  <c r="E20" i="43" l="1"/>
  <c r="I1" i="61"/>
  <c r="B30" i="1" s="1"/>
  <c r="D5" i="61"/>
  <c r="D28" i="57" l="1"/>
  <c r="D29" i="57"/>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H44" i="21" s="1"/>
  <c r="U44" i="21" s="1"/>
  <c r="B98" i="21"/>
  <c r="B96" i="21"/>
  <c r="H30" i="21" s="1"/>
  <c r="AB30" i="21" s="1"/>
  <c r="B94" i="21"/>
  <c r="B92" i="21"/>
  <c r="F28" i="21" s="1"/>
  <c r="AA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J28" i="21"/>
  <c r="W28" i="21" s="1"/>
  <c r="F30" i="21"/>
  <c r="S30" i="21" s="1"/>
  <c r="J44" i="21"/>
  <c r="AC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AC27" i="36"/>
  <c r="W27" i="36"/>
  <c r="U9" i="34"/>
  <c r="F101" i="33"/>
  <c r="G101" i="33" s="1"/>
  <c r="H101" i="33" s="1"/>
  <c r="I101" i="33" s="1"/>
  <c r="J101" i="33" s="1"/>
  <c r="K101" i="33" s="1"/>
  <c r="L101" i="33" s="1"/>
  <c r="M101" i="33" s="1"/>
  <c r="J32" i="33"/>
  <c r="W32" i="33" s="1"/>
  <c r="H32" i="33"/>
  <c r="AB32" i="33" s="1"/>
  <c r="W40" i="34"/>
  <c r="U12" i="36"/>
  <c r="W45"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C14" i="21" l="1"/>
  <c r="J30" i="21"/>
  <c r="W30" i="21" s="1"/>
  <c r="AC33" i="21"/>
  <c r="S33" i="21"/>
  <c r="AB31" i="21"/>
  <c r="S31" i="21"/>
  <c r="F32" i="21"/>
  <c r="S32" i="21" s="1"/>
  <c r="U45" i="21"/>
  <c r="S44" i="21"/>
  <c r="W44" i="21"/>
  <c r="AA30" i="21"/>
  <c r="F7" i="15"/>
  <c r="F31" i="15" s="1"/>
  <c r="B1" i="62"/>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30" i="21" l="1"/>
  <c r="AB39" i="37"/>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C43" i="11"/>
  <c r="C41" i="11" s="1"/>
  <c r="C32" i="12"/>
  <c r="B2" i="12" s="1"/>
  <c r="C46" i="11"/>
  <c r="C45" i="11" s="1"/>
  <c r="C26" i="15"/>
  <c r="C29" i="15" s="1"/>
  <c r="J60" i="15" s="1"/>
  <c r="J61" i="15" s="1"/>
  <c r="J68" i="39"/>
  <c r="I70" i="39"/>
  <c r="J63" i="40"/>
  <c r="I65" i="40"/>
  <c r="N58" i="57" l="1"/>
  <c r="N59" i="57" s="1"/>
  <c r="Q46" i="15"/>
  <c r="L47" i="15"/>
  <c r="C49" i="11"/>
  <c r="C51" i="11" s="1"/>
  <c r="C52" i="11" s="1"/>
  <c r="B3" i="11" s="1"/>
  <c r="B3" i="12"/>
  <c r="C13" i="15"/>
  <c r="Q47" i="15"/>
  <c r="J19" i="15"/>
  <c r="J17" i="15" s="1"/>
  <c r="C33" i="15"/>
  <c r="C31" i="15" s="1"/>
  <c r="J14" i="15"/>
  <c r="C58" i="15"/>
  <c r="C36" i="15"/>
  <c r="K68" i="39"/>
  <c r="J70" i="39"/>
  <c r="K63" i="40"/>
  <c r="J65" i="40"/>
  <c r="D20" i="57"/>
  <c r="P58" i="57" l="1"/>
  <c r="N60" i="57"/>
  <c r="N62" i="57" s="1"/>
  <c r="D119" i="57"/>
  <c r="D120" i="57" s="1"/>
  <c r="I116" i="57" s="1"/>
  <c r="I115" i="57"/>
  <c r="D132" i="57" s="1"/>
  <c r="D103" i="57"/>
  <c r="C56" i="11"/>
  <c r="C57" i="11" s="1"/>
  <c r="J22" i="15"/>
  <c r="J13" i="15"/>
  <c r="J23" i="15" s="1"/>
  <c r="C62" i="15"/>
  <c r="C60" i="15" s="1"/>
  <c r="C65" i="15"/>
  <c r="J34" i="15"/>
  <c r="Q68" i="15"/>
  <c r="C37" i="15"/>
  <c r="C30" i="15" s="1"/>
  <c r="C39" i="15" s="1"/>
  <c r="C57" i="15"/>
  <c r="C66" i="15" s="1"/>
  <c r="L63" i="40"/>
  <c r="K65" i="40"/>
  <c r="L68" i="39"/>
  <c r="K70" i="39"/>
  <c r="N61" i="57" l="1"/>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37"/>
  <c r="E2" i="33"/>
  <c r="E2" i="36"/>
  <c r="C20" i="57"/>
  <c r="D19" i="9"/>
  <c r="C19" i="57"/>
  <c r="E2" i="35"/>
  <c r="D20" i="9"/>
  <c r="E2" i="21"/>
  <c r="E2" i="11"/>
  <c r="E2" i="34"/>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C19" i="9"/>
  <c r="D19" i="57"/>
  <c r="C20" i="9"/>
  <c r="C102" i="9" l="1"/>
  <c r="G20" i="9"/>
  <c r="Q64" i="15"/>
  <c r="Q73" i="15" s="1"/>
  <c r="Q55" i="15"/>
  <c r="Q60" i="15" s="1"/>
  <c r="D22" i="57"/>
  <c r="D102" i="57"/>
  <c r="G19" i="57"/>
  <c r="C105" i="57" s="1"/>
  <c r="C101" i="9"/>
  <c r="D22" i="9"/>
  <c r="G19" i="9"/>
  <c r="H7" i="40"/>
  <c r="F7" i="40"/>
  <c r="J7" i="40"/>
  <c r="H7" i="39"/>
  <c r="F7" i="39"/>
  <c r="J7" i="39"/>
  <c r="F15" i="62" l="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30" i="9" l="1"/>
  <c r="E15" i="62"/>
  <c r="G47" i="40"/>
  <c r="H47" i="40" s="1"/>
  <c r="G46" i="40"/>
  <c r="H46" i="40" s="1"/>
  <c r="I46" i="40"/>
  <c r="J46" i="40" s="1"/>
  <c r="R48" i="39"/>
  <c r="E47" i="39"/>
  <c r="R43" i="40"/>
  <c r="E42" i="40"/>
  <c r="G51" i="39"/>
  <c r="H51" i="39" s="1"/>
  <c r="G52" i="39"/>
  <c r="H52" i="39" s="1"/>
  <c r="C24" i="9" l="1"/>
  <c r="C30" i="9"/>
  <c r="C25" i="9" s="1"/>
  <c r="C32" i="9" s="1"/>
  <c r="E46" i="40"/>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C104" i="9" s="1"/>
  <c r="D8" i="62" l="1"/>
  <c r="C8" i="62"/>
  <c r="D107" i="9"/>
  <c r="H121" i="9"/>
  <c r="D14" i="62" s="1"/>
  <c r="I103" i="9"/>
  <c r="D121" i="9"/>
  <c r="I4" i="52"/>
  <c r="E14" i="62" l="1"/>
  <c r="F14" i="62"/>
  <c r="B5" i="62"/>
  <c r="D122" i="9"/>
  <c r="D5" i="52" s="1"/>
  <c r="B39" i="60" s="1"/>
  <c r="D4" i="52"/>
  <c r="B37" i="60" s="1"/>
  <c r="H4" i="52"/>
  <c r="H122" i="9"/>
  <c r="H5" i="52" s="1"/>
  <c r="C103" i="9"/>
  <c r="D106" i="9"/>
  <c r="D112" i="9" s="1"/>
  <c r="I102" i="9"/>
  <c r="D30" i="50"/>
  <c r="D9" i="50"/>
  <c r="B21" i="60" s="1"/>
  <c r="C5" i="62" l="1"/>
  <c r="D5" i="62"/>
  <c r="D113" i="9"/>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D36" i="50"/>
  <c r="D37" i="50" s="1"/>
  <c r="D125" i="9"/>
  <c r="D15" i="50"/>
  <c r="I115" i="9"/>
  <c r="D23" i="50" s="1"/>
  <c r="B34" i="60" s="1"/>
  <c r="D44" i="50"/>
  <c r="D38" i="50"/>
  <c r="B62" i="60" s="1"/>
  <c r="I111" i="9"/>
  <c r="C95" i="9" l="1"/>
  <c r="D8" i="52"/>
  <c r="G14" i="62"/>
  <c r="B6" i="62" s="1"/>
  <c r="C79" i="9"/>
  <c r="D126" i="9"/>
  <c r="D9" i="52" s="1"/>
  <c r="D17" i="50"/>
  <c r="D16" i="50"/>
  <c r="B30" i="60" s="1"/>
  <c r="B29" i="60"/>
  <c r="C96" i="9"/>
  <c r="E96" i="9" s="1"/>
  <c r="E97" i="9" s="1"/>
  <c r="C6" i="62" l="1"/>
  <c r="D6" i="62"/>
  <c r="C97" i="9"/>
  <c r="D58" i="9" s="1"/>
  <c r="D56" i="9" s="1"/>
  <c r="M54" i="9" s="1"/>
  <c r="N57" i="9" s="1"/>
  <c r="N59" i="9" s="1"/>
  <c r="C80" i="9"/>
  <c r="E80" i="9" s="1"/>
  <c r="E81" i="9" s="1"/>
  <c r="P57" i="9" l="1"/>
  <c r="N58" i="9"/>
  <c r="C81" i="9"/>
  <c r="N60" i="9"/>
  <c r="N61" i="9"/>
  <c r="C35" i="9"/>
  <c r="G121" i="9"/>
  <c r="F121" i="9" s="1"/>
  <c r="D35" i="9"/>
  <c r="F4" i="52" l="1"/>
  <c r="B40" i="60" s="1"/>
  <c r="F122" i="9"/>
  <c r="F5" i="52" s="1"/>
  <c r="B42"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<sst xmlns="http://schemas.openxmlformats.org/spreadsheetml/2006/main" count="6907" uniqueCount="3026">
  <si>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</si>
  <si>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</si>
  <si>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</si>
  <si>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</si>
  <si>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</si>
  <si>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</si>
  <si>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</si>
  <si>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</si>
  <si>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</si>
  <si>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</si>
  <si>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</si>
  <si>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</si>
  <si>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</si>
  <si>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</si>
  <si>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</si>
  <si>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</si>
  <si>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</si>
  <si>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</si>
  <si>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</si>
  <si>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</si>
  <si>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</si>
  <si>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</si>
  <si>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</si>
  <si>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</si>
  <si>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</si>
  <si>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</si>
  <si>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</si>
  <si>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</si>
  <si>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</si>
  <si>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</si>
  <si>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</si>
  <si>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</si>
  <si>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</si>
  <si>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</si>
  <si>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</si>
  <si>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</si>
  <si>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</si>
  <si>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</si>
  <si>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</si>
  <si>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</si>
  <si>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</si>
  <si>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</si>
  <si>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</si>
  <si>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</si>
  <si>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</si>
  <si>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</si>
  <si>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</si>
  <si>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</si>
  <si>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</si>
  <si>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</si>
  <si>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</si>
  <si>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</si>
  <si>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</si>
  <si>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</si>
  <si>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</si>
  <si>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</si>
  <si>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</si>
  <si>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</si>
  <si>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</si>
  <si>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</si>
  <si>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</si>
  <si>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</si>
  <si>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</si>
  <si>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</si>
  <si>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</si>
  <si>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</si>
  <si>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</si>
  <si>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</si>
  <si>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</si>
  <si>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</si>
  <si>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</si>
  <si>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</si>
  <si>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</si>
  <si>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</si>
  <si>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</si>
  <si>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</si>
  <si>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</si>
  <si>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</si>
  <si>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</si>
  <si>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</si>
  <si>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</si>
  <si>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</si>
  <si>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</si>
  <si>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</si>
  <si>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</si>
  <si>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</si>
  <si>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</si>
  <si>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</si>
  <si>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</si>
  <si>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</si>
  <si>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</si>
  <si>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</si>
  <si>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</si>
  <si>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</si>
  <si>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</si>
  <si>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</si>
  <si>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</si>
  <si>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</si>
  <si>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</si>
  <si>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</si>
  <si>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</si>
  <si>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</si>
  <si>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</si>
  <si>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</si>
  <si>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</si>
  <si>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</si>
  <si>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</si>
  <si>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</si>
  <si>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</si>
  <si>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</si>
  <si>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</si>
  <si>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</si>
  <si>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</si>
  <si>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</si>
  <si>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</si>
  <si>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</si>
  <si>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</si>
  <si>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</si>
  <si>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</si>
  <si>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</si>
  <si>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</si>
  <si>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</si>
  <si>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</si>
  <si>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</si>
  <si>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</si>
  <si>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</si>
  <si>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</si>
  <si>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</si>
  <si>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</si>
  <si>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</si>
  <si>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</si>
  <si>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</si>
  <si>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</si>
  <si>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</si>
  <si>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</si>
  <si>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</si>
  <si>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</si>
  <si>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</si>
  <si>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</si>
  <si>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</si>
  <si>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</si>
  <si>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</si>
  <si>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</si>
  <si>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</si>
  <si>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</si>
  <si>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</si>
  <si>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</si>
  <si>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</si>
  <si>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</si>
  <si>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</si>
  <si>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</si>
  <si>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</si>
  <si>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</si>
  <si>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</si>
  <si>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</si>
  <si>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</si>
  <si>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</si>
  <si>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</si>
  <si>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</si>
  <si>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</si>
  <si>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</si>
  <si>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</si>
  <si>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</si>
  <si>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</si>
  <si>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</si>
  <si>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</si>
  <si>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</si>
  <si>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</si>
  <si>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</si>
  <si>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</si>
  <si>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</si>
  <si>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</si>
  <si>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</si>
  <si>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</si>
  <si>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</si>
  <si>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</si>
  <si>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</si>
  <si>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</si>
  <si>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</si>
  <si>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</si>
  <si>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</si>
  <si>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</si>
  <si>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</si>
  <si>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</si>
  <si>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</si>
  <si>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</si>
  <si>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</si>
  <si>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</si>
  <si>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</si>
  <si>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</si>
  <si>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</si>
  <si>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</si>
  <si>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</si>
  <si>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</si>
  <si>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</si>
  <si>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</si>
  <si>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</si>
  <si>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</si>
  <si>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</si>
  <si>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</si>
  <si>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</si>
  <si>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</si>
  <si>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</si>
  <si>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</si>
  <si>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</si>
  <si>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</si>
  <si>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</si>
  <si>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</si>
  <si>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</si>
  <si>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</si>
  <si>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</si>
  <si>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</si>
  <si>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</si>
  <si>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</si>
  <si>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</si>
  <si>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</si>
  <si>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</si>
  <si>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</si>
  <si>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</si>
  <si>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</si>
  <si>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</si>
  <si>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</si>
  <si>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</si>
  <si>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</si>
  <si>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</si>
  <si>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</si>
  <si>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</si>
  <si>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</si>
  <si>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</si>
  <si>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</si>
  <si>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</si>
  <si>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</si>
  <si>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</si>
  <si>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</si>
  <si>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</si>
  <si>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</si>
  <si>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</si>
  <si>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</si>
  <si>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</si>
  <si>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</si>
  <si>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</si>
  <si>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</si>
  <si>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</si>
  <si>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</si>
  <si>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</si>
  <si>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</si>
  <si>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</si>
  <si>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</si>
  <si>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</si>
  <si>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</si>
  <si>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</si>
  <si>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</si>
  <si>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</si>
  <si>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</si>
  <si>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</si>
  <si>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</si>
  <si>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</si>
  <si>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</si>
  <si>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</si>
  <si>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</si>
  <si>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</si>
  <si>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</si>
  <si>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</si>
  <si>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</si>
  <si>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</si>
  <si>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</si>
  <si>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</si>
  <si>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</si>
  <si>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</si>
  <si>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</si>
  <si>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</si>
  <si>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</si>
  <si>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</si>
  <si>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</si>
  <si>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</si>
  <si>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</si>
  <si>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</si>
  <si>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</si>
  <si>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</si>
  <si>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</si>
  <si>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</si>
  <si>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</si>
  <si>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</si>
  <si>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</si>
  <si>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</si>
  <si>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</si>
  <si>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</si>
  <si>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</si>
  <si>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</si>
  <si>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</si>
  <si>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</si>
  <si>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</si>
  <si>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</si>
  <si>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</si>
  <si>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</si>
  <si>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</si>
  <si>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</si>
  <si>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</si>
  <si>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</si>
  <si>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</si>
  <si>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</si>
  <si>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</si>
  <si>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</si>
  <si>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</si>
  <si>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</si>
  <si>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</si>
  <si>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</si>
  <si>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</si>
  <si>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</si>
  <si>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</si>
  <si>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</si>
  <si>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</si>
  <si>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</si>
  <si>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</si>
  <si>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</si>
  <si>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</si>
  <si>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</si>
  <si>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</si>
  <si>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</si>
  <si>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</si>
  <si>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</si>
  <si>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</si>
  <si>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</si>
  <si>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</si>
  <si>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</si>
  <si>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</si>
  <si>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</si>
  <si>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</si>
  <si>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</si>
  <si>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</si>
  <si>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</si>
  <si>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</si>
  <si>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</si>
  <si>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</si>
  <si>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</si>
  <si>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</si>
  <si>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</si>
  <si>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</si>
  <si>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</si>
  <si>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</si>
  <si>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</si>
  <si>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</si>
  <si>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</si>
  <si>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</si>
  <si>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</si>
  <si>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</si>
  <si>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</si>
  <si>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</si>
  <si>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</si>
  <si>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</si>
  <si>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</si>
  <si>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</si>
  <si>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</si>
  <si>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</si>
  <si>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</si>
  <si>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</si>
  <si>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</si>
  <si>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</si>
  <si>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</si>
  <si>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</si>
  <si>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</si>
  <si>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</si>
  <si>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</si>
  <si>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</si>
  <si>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</si>
  <si>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</si>
  <si>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</si>
  <si>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</si>
  <si>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</si>
  <si>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</si>
  <si>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</si>
  <si>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</si>
  <si>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</si>
  <si>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</si>
  <si>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</si>
  <si>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</si>
  <si>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</si>
  <si>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</si>
  <si>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</si>
  <si>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</si>
  <si>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</si>
  <si>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</si>
  <si>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</si>
  <si>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</si>
  <si>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</si>
  <si>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</si>
  <si>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</si>
  <si>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</si>
  <si>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</si>
  <si>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</si>
  <si>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</si>
  <si>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</si>
  <si>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</si>
  <si>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</si>
  <si>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</si>
  <si>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</si>
  <si>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</si>
  <si>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</si>
  <si>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</si>
  <si>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</si>
  <si>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</si>
  <si>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</si>
  <si>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</si>
  <si>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</si>
  <si>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</si>
  <si>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</si>
  <si>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</si>
  <si>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</si>
  <si>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</si>
  <si>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</si>
  <si>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</si>
  <si>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</si>
  <si>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</si>
  <si>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</si>
  <si>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</si>
  <si>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</si>
  <si>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</si>
  <si>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</si>
  <si>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</si>
  <si>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</si>
  <si>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</si>
  <si>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</si>
  <si>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</si>
  <si>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</si>
  <si>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</si>
  <si>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</si>
  <si>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</si>
  <si>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</si>
  <si>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</si>
  <si>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</si>
  <si>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</si>
  <si>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</si>
  <si>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</si>
  <si>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</si>
  <si>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</si>
  <si>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</si>
  <si>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</si>
  <si>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</si>
  <si>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</si>
  <si>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</si>
  <si>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</si>
  <si>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</si>
  <si>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</si>
  <si>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</si>
  <si>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</si>
  <si>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</si>
  <si>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</si>
  <si>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</si>
  <si>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</si>
  <si>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</si>
  <si>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</si>
  <si>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</si>
  <si>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</si>
  <si>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</si>
  <si>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</si>
  <si>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</si>
  <si>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</si>
  <si>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</si>
  <si>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</si>
  <si>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</si>
  <si>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</si>
  <si>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</si>
  <si>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</si>
  <si>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</si>
  <si>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</si>
  <si>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</si>
  <si>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</si>
  <si>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</si>
  <si>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</si>
  <si>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</si>
  <si>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</si>
  <si>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</si>
  <si>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</si>
  <si>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</si>
  <si>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</si>
  <si>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</si>
  <si>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</si>
  <si>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</si>
  <si>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</si>
  <si>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</si>
  <si>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</si>
  <si>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</si>
  <si>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</si>
  <si>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</si>
  <si>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</si>
  <si>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</si>
  <si>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</si>
  <si>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</si>
  <si>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</si>
  <si>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</si>
  <si>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</si>
  <si>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</si>
  <si>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</si>
  <si>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</si>
  <si>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</si>
  <si>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</si>
  <si>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</si>
  <si>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</si>
  <si>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</si>
  <si>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</si>
  <si>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</si>
  <si>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</si>
  <si>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</si>
  <si>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</si>
  <si>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</si>
  <si>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</si>
  <si>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</si>
  <si>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</si>
  <si>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</si>
  <si>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</si>
  <si>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</si>
  <si>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</si>
  <si>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</si>
  <si>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</si>
  <si>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</si>
  <si>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</si>
  <si>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</si>
  <si>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</si>
  <si>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</si>
  <si>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</si>
  <si>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</si>
  <si>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</si>
  <si>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</si>
  <si>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</si>
  <si>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</si>
  <si>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</si>
  <si>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</si>
  <si>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</si>
  <si>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</si>
  <si>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</si>
  <si>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</si>
  <si>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</si>
  <si>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</si>
  <si>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</si>
  <si>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</si>
  <si>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</si>
  <si>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</si>
  <si>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</si>
  <si>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</si>
  <si>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</si>
  <si>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</si>
  <si>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</si>
  <si>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</si>
  <si>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</si>
  <si>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</si>
  <si>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</si>
  <si>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</si>
  <si>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</si>
  <si>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</si>
  <si>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</si>
  <si>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</si>
  <si>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</si>
  <si>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</si>
  <si>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</si>
  <si>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</si>
  <si>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</si>
  <si>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</si>
  <si>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</si>
  <si>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</si>
  <si>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</si>
  <si>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</si>
  <si>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</si>
  <si>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</si>
  <si>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</si>
  <si>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</si>
  <si>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</si>
  <si>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</si>
  <si>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</si>
  <si>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</si>
  <si>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</si>
  <si>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</si>
  <si>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</si>
  <si>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</si>
  <si>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</si>
  <si>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</si>
  <si>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</si>
  <si>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</si>
  <si>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</si>
  <si>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</si>
  <si>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</si>
  <si>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</si>
  <si>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</si>
  <si>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</si>
  <si>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</si>
  <si>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</si>
  <si>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</si>
  <si>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</si>
  <si>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</si>
  <si>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</si>
  <si>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</si>
  <si>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</si>
  <si>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</si>
  <si>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</si>
  <si>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</si>
  <si>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</si>
  <si>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</si>
  <si>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</si>
  <si>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</si>
  <si>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</si>
  <si>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</si>
  <si>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</si>
  <si>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</si>
  <si>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</si>
  <si>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</si>
  <si>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</si>
  <si>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</si>
  <si>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</si>
  <si>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</si>
  <si>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</si>
  <si>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</si>
  <si>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</si>
  <si>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</si>
  <si>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</si>
  <si>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</si>
  <si>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</si>
  <si>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</si>
  <si>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</si>
  <si>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</si>
  <si>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</si>
  <si>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</si>
  <si>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</si>
  <si>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</si>
  <si>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</si>
  <si>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</si>
  <si>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</si>
  <si>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</si>
  <si>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</si>
  <si>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</si>
  <si>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</si>
  <si>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</si>
  <si>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</si>
  <si>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</si>
  <si>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</si>
  <si>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</si>
  <si>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</si>
  <si>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</si>
  <si>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</si>
  <si>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</si>
  <si>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</si>
  <si>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</si>
  <si>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</si>
  <si>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</si>
  <si>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</si>
  <si>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</si>
  <si>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</si>
  <si>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</si>
  <si>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</si>
  <si>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</si>
  <si>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</si>
  <si>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</si>
  <si>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</si>
  <si>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</si>
  <si>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</si>
  <si>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</si>
  <si>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</si>
  <si>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</si>
  <si>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</si>
  <si>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</si>
  <si>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</si>
  <si>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</si>
  <si>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</si>
  <si>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</si>
  <si>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</si>
  <si>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</si>
  <si>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</si>
  <si>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</si>
  <si>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</si>
  <si>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</si>
  <si>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</si>
  <si>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</si>
  <si>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</si>
  <si>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</si>
  <si>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</si>
  <si>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</si>
  <si>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</si>
  <si>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</si>
  <si>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</si>
  <si>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</si>
  <si>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</si>
  <si>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</si>
  <si>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</si>
  <si>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</si>
  <si>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</si>
  <si>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</si>
  <si>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</si>
  <si>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</si>
  <si>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</si>
  <si>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</si>
  <si>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</si>
  <si>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</si>
  <si>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</si>
  <si>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</si>
  <si>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</si>
  <si>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</si>
  <si>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</si>
  <si>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</si>
  <si>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</si>
  <si>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</si>
  <si>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</si>
  <si>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</si>
  <si>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</si>
  <si>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</si>
  <si>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</si>
  <si>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</si>
  <si>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</si>
  <si>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</si>
  <si>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</si>
  <si>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</si>
  <si>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</si>
  <si>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</si>
  <si>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</si>
  <si>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</si>
  <si>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</si>
  <si>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</si>
  <si>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</si>
  <si>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</si>
  <si>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</si>
  <si>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</si>
  <si>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</si>
  <si>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</si>
  <si>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</si>
  <si>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</si>
  <si>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</si>
  <si>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</si>
  <si>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</si>
  <si>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</si>
  <si>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</si>
  <si>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</si>
  <si>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</si>
  <si>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</si>
  <si>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</si>
  <si>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</si>
  <si>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</si>
  <si>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</si>
  <si>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</si>
  <si>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</si>
  <si>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</si>
  <si>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</si>
  <si>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</si>
  <si>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</si>
  <si>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</si>
  <si>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</si>
  <si>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</si>
  <si>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</si>
  <si>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</si>
  <si>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</si>
  <si>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</si>
  <si>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</si>
  <si>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</si>
  <si>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</si>
  <si>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</si>
  <si>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</si>
  <si>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</si>
  <si>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</si>
  <si>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</si>
  <si>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</si>
  <si>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</si>
  <si>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</si>
  <si>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</si>
  <si>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</si>
  <si>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</si>
  <si>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</si>
  <si>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</si>
  <si>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</si>
  <si>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</si>
  <si>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</si>
  <si>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</si>
  <si>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</si>
  <si>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</si>
  <si>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</si>
  <si>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</si>
  <si>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</si>
  <si>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</si>
  <si>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</si>
  <si>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</si>
  <si>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</si>
  <si>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</si>
  <si>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</si>
  <si>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</si>
  <si>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</si>
  <si>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</si>
  <si>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</si>
  <si>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</si>
  <si>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</si>
  <si>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</si>
  <si>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</si>
  <si>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</si>
  <si>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</si>
  <si>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</si>
  <si>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</si>
  <si>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</si>
  <si>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</si>
  <si>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</si>
  <si>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</si>
  <si>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</si>
  <si>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</si>
  <si>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</si>
  <si>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</si>
  <si>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</si>
  <si>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</si>
  <si>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</si>
  <si>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</si>
  <si>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</si>
  <si>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</si>
  <si>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</si>
  <si>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</si>
  <si>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</si>
  <si>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</si>
  <si>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</si>
  <si>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</si>
  <si>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</si>
  <si>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</si>
  <si>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</si>
  <si>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</si>
  <si>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</si>
  <si>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</si>
  <si>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</si>
  <si>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</si>
  <si>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</si>
  <si>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</si>
  <si>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</si>
  <si>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</si>
  <si>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</si>
  <si>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</si>
  <si>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</si>
  <si>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</si>
  <si>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</si>
  <si>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</si>
  <si>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</si>
  <si>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</si>
  <si>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</si>
  <si>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</si>
  <si>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</si>
  <si>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</si>
  <si>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</si>
  <si>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</si>
  <si>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</si>
  <si>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</si>
  <si>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</si>
  <si>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</si>
  <si>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</si>
  <si>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</si>
  <si>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</si>
  <si>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</si>
  <si>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</si>
  <si>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</si>
  <si>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</si>
  <si>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</si>
  <si>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</si>
  <si>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</si>
  <si>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</si>
  <si>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</si>
  <si>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</si>
  <si>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</si>
  <si>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</si>
  <si>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</si>
  <si>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</si>
  <si>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</si>
  <si>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</si>
  <si>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</si>
  <si>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</si>
  <si>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</si>
  <si>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</si>
  <si>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</si>
  <si>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</si>
  <si>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</si>
  <si>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</si>
  <si>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</si>
  <si>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</si>
  <si>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</si>
  <si>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</si>
  <si>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</si>
  <si>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</si>
  <si>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</si>
  <si>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</si>
  <si>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</si>
  <si>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</si>
  <si>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</si>
  <si>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</si>
  <si>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</si>
  <si>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</si>
  <si>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</si>
  <si>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</si>
  <si>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</si>
  <si>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</si>
  <si>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</si>
  <si>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</si>
  <si>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</si>
  <si>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</si>
  <si>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</si>
  <si>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</si>
  <si>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</si>
  <si>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</si>
  <si>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</si>
  <si>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</si>
  <si>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</si>
  <si>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</si>
  <si>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</si>
  <si>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</si>
  <si>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</si>
  <si>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</si>
  <si>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</si>
  <si>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</si>
  <si>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</si>
  <si>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</si>
  <si>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</si>
  <si>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</si>
  <si>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</si>
  <si>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</si>
  <si>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</si>
  <si>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</si>
  <si>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</si>
  <si>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</si>
  <si>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</si>
  <si>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</si>
  <si>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</si>
  <si>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</si>
  <si>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</si>
  <si>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</si>
  <si>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</si>
  <si>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</si>
  <si>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</si>
  <si>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</si>
  <si>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</si>
  <si>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</si>
  <si>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</si>
  <si>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</si>
  <si>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</si>
  <si>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</si>
  <si>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</si>
  <si>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</si>
  <si>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</si>
  <si>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</si>
  <si>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</si>
  <si>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</si>
  <si>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</si>
  <si>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</si>
  <si>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</si>
  <si>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</si>
  <si>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</si>
  <si>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</si>
  <si>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</si>
  <si>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</si>
  <si>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</si>
  <si>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</si>
  <si>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</si>
  <si>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</si>
  <si>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</si>
  <si>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</si>
  <si>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</si>
  <si>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</si>
  <si>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</si>
  <si>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</si>
  <si>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</si>
  <si>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</si>
  <si>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</si>
  <si>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</si>
  <si>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</si>
  <si>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</si>
  <si>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</si>
  <si>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</si>
  <si>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</si>
  <si>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</si>
  <si>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</si>
  <si>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</si>
  <si>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</si>
  <si>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</si>
  <si>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</si>
  <si>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</si>
  <si>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</si>
  <si>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</si>
  <si>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</si>
  <si>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</si>
  <si>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</si>
  <si>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</si>
  <si>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</si>
  <si>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</si>
  <si>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</si>
  <si>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</si>
  <si>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</si>
  <si>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</si>
  <si>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</si>
  <si>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</si>
  <si>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</si>
  <si>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</si>
  <si>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</si>
  <si>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</si>
  <si>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</si>
  <si>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</si>
  <si>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</si>
  <si>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</si>
  <si>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</si>
  <si>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</si>
  <si>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</si>
  <si>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</si>
  <si>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</si>
  <si>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</si>
  <si>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</si>
  <si>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</si>
  <si>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</si>
  <si>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</si>
  <si>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</si>
  <si>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</si>
  <si>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</si>
  <si>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</si>
  <si>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</si>
  <si>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</si>
  <si>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</si>
  <si>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</si>
  <si>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</si>
  <si>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</si>
  <si>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</si>
  <si>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</si>
  <si>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</si>
  <si>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</si>
  <si>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</si>
  <si>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</si>
  <si>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</si>
  <si>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</si>
  <si>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</si>
  <si>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</si>
  <si>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</si>
  <si>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</si>
  <si>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</si>
  <si>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</si>
  <si>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</si>
  <si>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</si>
  <si>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</si>
  <si>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</si>
  <si>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</si>
  <si>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</si>
  <si>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</si>
  <si>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</si>
  <si>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</si>
  <si>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</si>
  <si>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</si>
  <si>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</si>
  <si>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</si>
  <si>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</si>
  <si>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</si>
  <si>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</si>
  <si>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</si>
  <si>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</si>
  <si>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</si>
  <si>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</si>
  <si>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</si>
  <si>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</si>
  <si>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</si>
  <si>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</si>
  <si>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</si>
  <si>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</si>
  <si>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</si>
  <si>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</si>
  <si>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</si>
  <si>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</si>
  <si>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</si>
  <si>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</si>
  <si>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</si>
  <si>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</si>
  <si>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</si>
  <si>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</si>
  <si>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</si>
  <si>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</si>
  <si>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</si>
  <si>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</si>
  <si>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</si>
  <si>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</si>
  <si>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</si>
  <si>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</si>
  <si>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</si>
  <si>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</si>
  <si>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</si>
  <si>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</si>
  <si>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</si>
  <si>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</si>
  <si>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</si>
  <si>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</si>
  <si>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</si>
  <si>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</si>
  <si>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</si>
  <si>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</si>
  <si>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</si>
  <si>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</si>
  <si>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</si>
  <si>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</si>
  <si>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</si>
  <si>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</si>
  <si>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</si>
  <si>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</si>
  <si>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</si>
  <si>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</si>
  <si>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</si>
  <si>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</si>
  <si>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</si>
  <si>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</si>
  <si>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</si>
  <si>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</si>
  <si>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</si>
  <si>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</si>
  <si>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</si>
  <si>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</si>
  <si>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</si>
  <si>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</si>
  <si>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</si>
  <si>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</si>
  <si>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</si>
  <si>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</si>
  <si>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</si>
  <si>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</si>
  <si>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</si>
  <si>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</si>
  <si>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</si>
  <si>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</si>
  <si>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</si>
  <si>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</si>
  <si>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</si>
  <si>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</si>
  <si>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</si>
  <si>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</si>
  <si>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</si>
  <si>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</si>
  <si>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</si>
  <si>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</si>
  <si>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</si>
  <si>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</si>
  <si>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</si>
  <si>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</si>
  <si>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</si>
  <si>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</si>
  <si>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</si>
  <si>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</si>
  <si>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</si>
  <si>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</si>
  <si>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</si>
  <si>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</si>
  <si>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</si>
  <si>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</si>
  <si>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</si>
  <si>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</si>
  <si>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</si>
  <si>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</si>
  <si>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</si>
  <si>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</si>
  <si>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</si>
  <si>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</si>
  <si>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</si>
  <si>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</si>
  <si>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</si>
  <si>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</si>
  <si>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</si>
  <si>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</si>
  <si>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</si>
  <si>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</si>
  <si>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</si>
  <si>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</si>
  <si>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</si>
  <si>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</si>
  <si>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</si>
  <si>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</si>
  <si>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</si>
  <si>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</si>
  <si>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</si>
  <si>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</si>
  <si>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</si>
  <si>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</si>
  <si>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</si>
  <si>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</si>
  <si>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</si>
  <si>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</si>
  <si>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</si>
  <si>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</si>
  <si>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</si>
  <si>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</si>
  <si>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</si>
  <si>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</si>
  <si>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</si>
  <si>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</si>
  <si>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</si>
  <si>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</si>
  <si>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</si>
  <si>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</si>
  <si>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</si>
  <si>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</si>
  <si>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</si>
  <si>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</si>
  <si>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</si>
  <si>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</si>
  <si>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</si>
  <si>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</si>
  <si>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</si>
  <si>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</si>
  <si>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</si>
  <si>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</si>
  <si>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</si>
  <si>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</si>
  <si>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</si>
  <si>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</si>
  <si>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</si>
  <si>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</si>
  <si>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</si>
  <si>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</si>
  <si>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</si>
  <si>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</si>
  <si>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</si>
  <si>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</si>
  <si>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</si>
  <si>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</si>
  <si>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</si>
  <si>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</si>
  <si>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</si>
  <si>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</si>
  <si>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</si>
  <si>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</si>
  <si>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</si>
  <si>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</si>
  <si>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</si>
  <si>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</si>
  <si>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</si>
  <si>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</si>
  <si>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</si>
  <si>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</si>
  <si>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</si>
  <si>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</si>
  <si>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</si>
  <si>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</si>
  <si>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</si>
  <si>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</si>
  <si>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</si>
  <si>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</si>
  <si>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</si>
  <si>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</si>
  <si>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</si>
  <si>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</si>
  <si>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</si>
  <si>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</si>
  <si>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</si>
  <si>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</si>
  <si>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</si>
  <si>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</si>
  <si>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</si>
  <si>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</si>
  <si>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</si>
  <si>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</si>
  <si>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</si>
  <si>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</si>
  <si>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</si>
  <si>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</si>
  <si>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</si>
  <si>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</si>
  <si>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</si>
  <si>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</si>
  <si>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</si>
  <si>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</si>
  <si>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</si>
  <si>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</si>
  <si>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</si>
  <si>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</si>
  <si>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</si>
  <si>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</si>
  <si>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</si>
  <si>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</si>
  <si>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</si>
  <si>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</si>
  <si>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</si>
  <si>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</si>
  <si>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</si>
  <si>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</si>
  <si>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</si>
  <si>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</si>
  <si>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</si>
  <si>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</si>
  <si>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</si>
  <si>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</si>
  <si>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</si>
  <si>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</si>
  <si>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</si>
  <si>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</si>
  <si>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</si>
  <si>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</si>
  <si>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</si>
  <si>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</si>
  <si>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</si>
  <si>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</si>
  <si>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</si>
  <si>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</si>
  <si>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</si>
  <si>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</si>
  <si>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</si>
  <si>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</si>
  <si>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</si>
  <si>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</si>
  <si>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</si>
  <si>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</si>
  <si>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</si>
  <si>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</si>
  <si>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</si>
  <si>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</si>
  <si>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</si>
  <si>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</si>
  <si>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</si>
  <si>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</si>
  <si>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</si>
  <si>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</si>
  <si>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</si>
  <si>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</si>
  <si>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</si>
  <si>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</si>
  <si>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</si>
  <si>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</si>
  <si>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</si>
  <si>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</si>
  <si>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</si>
  <si>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</si>
  <si>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</si>
  <si>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</si>
  <si>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</si>
  <si>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</si>
  <si>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</si>
  <si>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</si>
  <si>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</si>
  <si>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</si>
  <si>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</si>
  <si>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</si>
  <si>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</si>
  <si>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</si>
  <si>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</si>
  <si>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</si>
  <si>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</si>
  <si>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</si>
  <si>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</si>
  <si>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</si>
  <si>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</si>
  <si>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</si>
  <si>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</si>
  <si>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</si>
  <si>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</si>
  <si>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</si>
  <si>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</si>
  <si>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</si>
  <si>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</si>
  <si>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</si>
  <si>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</si>
  <si>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</si>
  <si>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</si>
  <si>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</si>
  <si>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</si>
  <si>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</si>
  <si>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</si>
  <si>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</si>
  <si>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</si>
  <si>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</si>
  <si>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</si>
  <si>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</si>
  <si>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</si>
  <si>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</si>
  <si>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</si>
  <si>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</si>
  <si>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</si>
  <si>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</si>
  <si>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</si>
  <si>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</si>
  <si>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</si>
  <si>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</si>
  <si>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</si>
  <si>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</si>
  <si>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</si>
  <si>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</si>
  <si>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</si>
  <si>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</si>
  <si>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</si>
  <si>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</si>
  <si>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</si>
  <si>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</si>
  <si>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</si>
  <si>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</si>
  <si>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</si>
  <si>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</si>
  <si>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</si>
  <si>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</si>
  <si>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</si>
  <si>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</si>
  <si>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</si>
  <si>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</si>
  <si>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</si>
  <si>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</si>
  <si>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</si>
  <si>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</si>
  <si>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</si>
  <si>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</si>
  <si>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</si>
  <si>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</si>
  <si>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</si>
  <si>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</si>
  <si>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</si>
  <si>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</si>
  <si>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</si>
  <si>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</si>
  <si>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</si>
  <si>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</si>
  <si>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</si>
  <si>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</si>
  <si>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</si>
  <si>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</si>
  <si>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</si>
  <si>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</si>
  <si>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</si>
  <si>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</si>
  <si>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</si>
  <si>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</si>
  <si>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</si>
  <si>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</si>
  <si>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</si>
  <si>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</si>
  <si>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</si>
  <si>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</si>
  <si>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</si>
  <si>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</si>
  <si>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</si>
  <si>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</si>
  <si>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</si>
  <si>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</si>
  <si>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</si>
  <si>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</si>
  <si>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</si>
  <si>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</si>
  <si>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</si>
  <si>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</si>
  <si>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</si>
  <si>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</si>
  <si>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</si>
  <si>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</si>
  <si>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</si>
  <si>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</si>
  <si>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</si>
  <si>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</si>
  <si>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</si>
  <si>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</si>
  <si>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</si>
  <si>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</si>
  <si>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</si>
  <si>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</si>
  <si>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</si>
  <si>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</si>
  <si>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</si>
  <si>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</si>
  <si>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</si>
  <si>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</si>
  <si>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</si>
  <si>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</si>
  <si>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</si>
  <si>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</si>
  <si>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</si>
  <si>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</si>
  <si>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</si>
  <si>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</si>
  <si>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</si>
  <si>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</si>
  <si>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</si>
  <si>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</si>
  <si>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</si>
  <si>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</si>
  <si>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</si>
  <si>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</si>
  <si>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</si>
  <si>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</si>
  <si>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</si>
  <si>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</si>
  <si>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</si>
  <si>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</si>
  <si>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</si>
  <si>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</si>
  <si>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</si>
  <si>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</si>
  <si>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</si>
  <si>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</si>
  <si>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</si>
  <si>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</si>
  <si>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</si>
  <si>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</si>
  <si>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</si>
  <si>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</si>
  <si>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</si>
  <si>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</si>
  <si>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</si>
  <si>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</si>
  <si>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</si>
  <si>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</si>
  <si>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</si>
  <si>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</si>
  <si>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</si>
  <si>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</si>
  <si>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</si>
  <si>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</si>
  <si>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</si>
  <si>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</si>
  <si>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</si>
  <si>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</si>
  <si>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</si>
  <si>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</si>
  <si>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</si>
  <si>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</si>
  <si>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</si>
  <si>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</si>
  <si>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</si>
  <si>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</si>
  <si>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</si>
  <si>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</si>
  <si>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</si>
  <si>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</si>
  <si>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</si>
  <si>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</si>
  <si>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</si>
  <si>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</si>
  <si>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</si>
  <si>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</si>
  <si>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</si>
  <si>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</si>
  <si>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</si>
  <si>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</si>
  <si>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</si>
  <si>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</si>
  <si>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</si>
  <si>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</si>
  <si>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</si>
  <si>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</si>
  <si>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</si>
  <si>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</si>
  <si>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</si>
  <si>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</si>
  <si>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</si>
  <si>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</si>
  <si>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</si>
  <si>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</si>
  <si>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</si>
  <si>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</si>
  <si>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</si>
  <si>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</si>
  <si>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</si>
  <si>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</si>
  <si>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</si>
  <si>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</si>
  <si>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</si>
  <si>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</si>
  <si>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</si>
  <si>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</si>
  <si>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</si>
  <si>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</si>
  <si>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</si>
  <si>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</si>
  <si>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</si>
  <si>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</si>
  <si>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</si>
  <si>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</si>
  <si>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</si>
  <si>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</si>
  <si>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</si>
  <si>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</si>
  <si>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</si>
  <si>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</si>
  <si>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</si>
  <si>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</si>
  <si>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</si>
  <si>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</si>
  <si>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</si>
  <si>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</si>
  <si>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</si>
  <si>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</si>
  <si>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</si>
  <si>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</si>
  <si>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</si>
  <si>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</si>
  <si>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</si>
  <si>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</si>
  <si>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</si>
  <si>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</si>
  <si>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</si>
  <si>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</si>
  <si>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</si>
  <si>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</si>
  <si>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</si>
  <si>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</si>
  <si>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</si>
  <si>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</si>
  <si>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</si>
  <si>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</si>
  <si>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</si>
  <si>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</si>
  <si>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</si>
  <si>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</si>
  <si>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</si>
  <si>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</si>
  <si>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</si>
  <si>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</si>
  <si>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</si>
  <si>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</si>
  <si>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</si>
  <si>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</si>
  <si>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</si>
  <si>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</si>
  <si>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</si>
  <si>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</si>
  <si>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</si>
  <si>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</si>
  <si>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</si>
  <si>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</si>
  <si>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</si>
  <si>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</si>
  <si>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</si>
  <si>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</si>
  <si>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</si>
  <si>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</si>
  <si>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</si>
  <si>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</si>
  <si>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</si>
  <si>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</si>
  <si>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</si>
  <si>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</si>
  <si>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</si>
  <si>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</si>
  <si>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</si>
  <si>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</si>
  <si>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</si>
  <si>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</si>
  <si>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</si>
  <si>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</si>
  <si>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</si>
  <si>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</si>
  <si>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</si>
  <si>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</si>
  <si>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</si>
  <si>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</si>
  <si>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</si>
  <si>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</si>
  <si>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</si>
  <si>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</si>
  <si>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</si>
  <si>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</si>
  <si>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</si>
  <si>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</si>
  <si>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</si>
  <si>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</si>
  <si>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</si>
  <si>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</si>
  <si>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</si>
  <si>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</si>
  <si>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</si>
  <si>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</si>
  <si>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</si>
  <si>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</si>
  <si>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</si>
  <si>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</si>
  <si>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</si>
  <si>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</si>
  <si>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</si>
  <si>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</si>
  <si>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</si>
  <si>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</si>
  <si>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</si>
  <si>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</si>
  <si>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</si>
  <si>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</si>
  <si>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</si>
  <si>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</si>
  <si>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</si>
  <si>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</si>
  <si>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</si>
  <si>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</si>
  <si>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</si>
  <si>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</si>
  <si>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</si>
  <si>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</si>
  <si>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</si>
  <si>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</si>
  <si>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</si>
  <si>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</si>
  <si>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</si>
  <si>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</si>
  <si>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</si>
  <si>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</si>
  <si>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</si>
  <si>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</si>
  <si>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</si>
  <si>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</si>
  <si>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</si>
  <si>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</si>
  <si>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</si>
  <si>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</si>
  <si>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</si>
  <si>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</si>
  <si>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</si>
  <si>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</si>
  <si>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</si>
  <si>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</si>
  <si>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</si>
  <si>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</si>
  <si>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</si>
  <si>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</si>
  <si>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</si>
  <si>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</si>
  <si>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</si>
  <si>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</si>
  <si>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</si>
  <si>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</si>
  <si>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</si>
  <si>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</si>
  <si>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</si>
  <si>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</si>
  <si>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</si>
  <si>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</si>
  <si>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</si>
  <si>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</si>
  <si>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</si>
  <si>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</si>
  <si>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</si>
  <si>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</si>
  <si>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</si>
  <si>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</si>
  <si>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</si>
  <si>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</si>
  <si>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</si>
  <si>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</si>
  <si>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</si>
  <si>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</si>
  <si>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</si>
  <si>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</si>
  <si>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</si>
  <si>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</si>
  <si>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</si>
  <si>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</si>
  <si>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</si>
  <si>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</si>
  <si>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</si>
  <si>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</si>
  <si>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</si>
  <si>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</si>
  <si>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</si>
  <si>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</si>
  <si>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</si>
  <si>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</si>
  <si>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</si>
  <si>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</si>
  <si>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</si>
  <si>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</si>
  <si>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</si>
  <si>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</si>
  <si>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</si>
  <si>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</si>
  <si>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</si>
  <si>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</si>
  <si>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</si>
  <si>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</si>
  <si>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</si>
  <si>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</si>
  <si>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</si>
  <si>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</si>
  <si>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</si>
  <si>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</si>
  <si>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</si>
  <si>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</si>
  <si>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</si>
  <si>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</si>
  <si>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</si>
  <si>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</si>
  <si>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</si>
  <si>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</si>
  <si>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</si>
  <si>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</si>
  <si>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</si>
  <si>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</si>
  <si>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</si>
  <si>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</si>
  <si>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</si>
  <si>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</si>
  <si>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</si>
  <si>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</si>
  <si>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</si>
  <si>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</si>
  <si>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</si>
  <si>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</si>
  <si>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</si>
  <si>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</si>
  <si>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</si>
  <si>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</si>
  <si>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</si>
  <si>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</si>
  <si>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</si>
  <si>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</si>
  <si>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</si>
  <si>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</si>
  <si>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</si>
  <si>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</si>
  <si>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</si>
  <si>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</si>
  <si>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</si>
  <si>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</si>
  <si>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</si>
  <si>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</si>
  <si>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</si>
  <si>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</si>
  <si>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</si>
  <si>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</si>
  <si>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</si>
  <si>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</si>
  <si>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</si>
  <si>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</si>
  <si>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</si>
  <si>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</si>
  <si>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</si>
  <si>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</si>
  <si>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</si>
  <si>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</si>
  <si>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</si>
  <si>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</si>
  <si>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</si>
  <si>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</si>
  <si>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</si>
  <si>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</si>
  <si>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</si>
  <si>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</si>
  <si>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</si>
  <si>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</si>
  <si>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</si>
  <si>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</si>
  <si>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</si>
  <si>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</si>
  <si>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</si>
  <si>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</si>
  <si>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</si>
  <si>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</si>
  <si>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</si>
  <si>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</si>
  <si>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</si>
  <si>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</si>
  <si>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</si>
  <si>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</si>
  <si>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</si>
  <si>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</si>
  <si>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</si>
  <si>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</si>
  <si>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</si>
  <si>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</si>
  <si>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</si>
  <si>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</si>
  <si>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</si>
  <si>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</si>
  <si>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</si>
  <si>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</si>
  <si>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</si>
  <si>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</si>
  <si>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</si>
  <si>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</si>
  <si>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</si>
  <si>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</si>
  <si>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</si>
  <si>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</si>
  <si>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</si>
  <si>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</si>
  <si>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</si>
  <si>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</si>
  <si>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</si>
  <si>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</si>
  <si>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</si>
  <si>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</si>
  <si>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</si>
  <si>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</si>
  <si>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</si>
  <si>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</si>
  <si>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</si>
  <si>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</si>
  <si>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</si>
  <si>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</si>
  <si>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</si>
  <si>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</si>
  <si>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</si>
  <si>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</si>
  <si>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</si>
  <si>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</si>
  <si>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</si>
  <si>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</si>
  <si>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</si>
  <si>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</si>
  <si>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</si>
  <si>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</si>
  <si>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</si>
  <si>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</si>
  <si>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</si>
  <si>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</si>
  <si>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</si>
  <si>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</si>
  <si>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</si>
  <si>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</si>
  <si>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</si>
  <si>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</si>
  <si>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</si>
  <si>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</si>
  <si>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</si>
  <si>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</si>
  <si>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</si>
  <si>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</si>
  <si>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</si>
  <si>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</si>
  <si>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</si>
  <si>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</si>
  <si>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</si>
  <si>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</si>
  <si>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</si>
  <si>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</si>
  <si>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</si>
  <si>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</si>
  <si>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</si>
  <si>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</si>
  <si>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</si>
  <si>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</si>
  <si>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</si>
  <si>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</si>
  <si>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</si>
  <si>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</si>
  <si>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</si>
  <si>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</si>
  <si>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</si>
  <si>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</si>
  <si>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</si>
  <si>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</si>
  <si>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</si>
  <si>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</si>
  <si>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</si>
  <si>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</si>
  <si>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</si>
  <si>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</si>
  <si>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</si>
  <si>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</si>
  <si>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</si>
  <si>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</si>
  <si>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</si>
  <si>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</si>
  <si>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</si>
  <si>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</si>
  <si>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</si>
  <si>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</si>
  <si>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</si>
  <si>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</si>
  <si>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</si>
  <si>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</si>
  <si>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</si>
  <si>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</si>
  <si>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</si>
  <si>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</si>
  <si>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</si>
  <si>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</si>
  <si>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</si>
  <si>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</si>
  <si>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</si>
  <si>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</si>
  <si>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</si>
  <si>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</si>
  <si>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</si>
  <si>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</si>
  <si>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</si>
  <si>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</si>
  <si>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</si>
  <si>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</si>
  <si>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</si>
  <si>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</si>
  <si>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</si>
  <si>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</si>
  <si>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</si>
  <si>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</si>
  <si>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</si>
  <si>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</si>
  <si>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</si>
  <si>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</si>
  <si>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</si>
  <si>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</si>
  <si>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</si>
  <si>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</si>
  <si>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</si>
  <si>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</si>
  <si>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</si>
  <si>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</si>
  <si>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</si>
  <si>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</si>
  <si>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</si>
  <si>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</si>
  <si>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</si>
  <si>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</si>
  <si>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</si>
  <si>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</si>
  <si>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</si>
  <si>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</si>
  <si>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</si>
  <si>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</si>
  <si>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</si>
  <si>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</si>
  <si>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</si>
  <si>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</si>
  <si>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</si>
  <si>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</si>
  <si>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</si>
  <si>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</si>
  <si>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</si>
  <si>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</si>
  <si>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</si>
  <si>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</si>
  <si>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</si>
  <si>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</si>
  <si>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</si>
  <si>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</si>
  <si>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</si>
  <si>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</si>
  <si>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</si>
  <si>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</si>
  <si>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</si>
  <si>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</si>
  <si>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</si>
  <si>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</si>
  <si>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</si>
  <si>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</si>
  <si>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</si>
  <si>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</si>
  <si>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</si>
  <si>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</si>
  <si>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</si>
  <si>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</si>
  <si>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</si>
  <si>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</si>
  <si>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</si>
  <si>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</si>
  <si>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</si>
  <si>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</si>
  <si>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</si>
  <si>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</si>
  <si>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</si>
  <si>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</si>
  <si>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</si>
  <si>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</si>
  <si>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</si>
  <si>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</si>
  <si>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</si>
  <si>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</si>
  <si>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</si>
  <si>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</si>
  <si>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</si>
  <si>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</si>
  <si>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</si>
  <si>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</si>
  <si>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</si>
  <si>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</si>
  <si>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</si>
  <si>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</si>
  <si>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</si>
  <si>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</si>
  <si>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</si>
  <si>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</si>
  <si>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</si>
  <si>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</si>
  <si>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</si>
  <si>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</si>
  <si>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</si>
  <si>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</si>
  <si>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</si>
  <si>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</si>
  <si>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</si>
  <si>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</si>
  <si>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</si>
  <si>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</si>
  <si>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</si>
  <si>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</si>
  <si>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</si>
  <si>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</si>
  <si>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</si>
  <si>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</si>
  <si>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</si>
  <si>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</si>
  <si>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</si>
  <si>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</si>
  <si>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</si>
  <si>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</si>
  <si>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</si>
  <si>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</si>
  <si>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</si>
  <si>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</si>
  <si>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</si>
  <si>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</si>
  <si>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</si>
  <si>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</si>
  <si>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</si>
  <si>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</si>
  <si>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</si>
  <si>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</si>
  <si>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</si>
  <si>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</si>
  <si>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</si>
  <si>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</si>
  <si>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</si>
  <si>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</si>
  <si>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</si>
  <si>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</si>
  <si>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</si>
  <si>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</si>
  <si>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</si>
  <si>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</si>
  <si>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</si>
  <si>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</si>
  <si>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</si>
  <si>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</si>
  <si>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</si>
  <si>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</si>
  <si>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</si>
  <si>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</si>
  <si>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</si>
  <si>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</si>
  <si>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</si>
  <si>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</si>
  <si>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</si>
  <si>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</si>
  <si>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</si>
  <si>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</si>
  <si>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</si>
  <si>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</si>
  <si>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</si>
  <si>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</si>
  <si>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</si>
  <si>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</si>
  <si>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</si>
  <si>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</si>
  <si>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</si>
  <si>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</si>
  <si>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</si>
  <si>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</si>
  <si>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</si>
  <si>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</si>
  <si>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</si>
  <si>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</si>
  <si>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</si>
  <si>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</si>
  <si>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</si>
  <si>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</si>
  <si>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</si>
  <si>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</si>
  <si>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</si>
  <si>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</si>
  <si>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</si>
  <si>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</si>
  <si>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</si>
  <si>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</si>
  <si>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</si>
  <si>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</si>
  <si>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</si>
  <si>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</si>
  <si>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</si>
  <si>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</si>
  <si>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</si>
  <si>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</si>
  <si>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</si>
  <si>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</si>
  <si>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</si>
  <si>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</si>
  <si>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</si>
  <si>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</si>
  <si>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</si>
  <si>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</si>
  <si>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</si>
  <si>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</si>
  <si>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</si>
  <si>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</si>
  <si>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</si>
  <si>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</si>
  <si>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</si>
  <si>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</si>
  <si>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</si>
  <si>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</si>
  <si>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</si>
  <si>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</si>
  <si>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</si>
  <si>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</si>
  <si>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</si>
  <si>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</si>
  <si>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</si>
  <si>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</si>
  <si>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</si>
  <si>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</si>
  <si>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</si>
  <si>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</si>
  <si>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</si>
  <si>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</si>
  <si>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</si>
  <si>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</si>
  <si>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</si>
  <si>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</si>
  <si>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</si>
  <si>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</si>
  <si>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</si>
  <si>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</si>
  <si>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</si>
  <si>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</si>
  <si>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</si>
  <si>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</si>
  <si>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</si>
  <si>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</si>
  <si>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</si>
  <si>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</si>
  <si>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</si>
  <si>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</si>
  <si>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</si>
  <si>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</si>
  <si>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</si>
  <si>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</si>
  <si>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</si>
  <si>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</si>
  <si>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</si>
  <si>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</si>
  <si>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</si>
  <si>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</si>
  <si>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</si>
  <si>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</si>
  <si>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</si>
  <si>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</si>
  <si>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</si>
  <si>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</si>
  <si>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</si>
  <si>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</si>
  <si>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</si>
  <si>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</si>
  <si>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</si>
  <si>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</si>
  <si>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</si>
  <si>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</si>
  <si>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</si>
  <si>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</si>
  <si>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</si>
  <si>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</si>
  <si>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</si>
  <si>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</si>
  <si>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</si>
  <si>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</si>
  <si>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</si>
  <si>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</si>
  <si>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</si>
  <si>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</si>
  <si>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</si>
  <si>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</si>
  <si>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</si>
  <si>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</si>
  <si>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</si>
  <si>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</si>
  <si>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</si>
  <si>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</si>
  <si>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</si>
  <si>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</si>
  <si>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</si>
  <si>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</si>
  <si>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</si>
  <si>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</si>
  <si>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</si>
  <si>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</si>
  <si>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</si>
  <si>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</si>
  <si>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</si>
  <si>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</si>
  <si>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</si>
  <si>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</si>
  <si>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</si>
  <si>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</si>
  <si>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</si>
  <si>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</si>
  <si>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</si>
  <si>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</si>
  <si>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</si>
  <si>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</si>
  <si>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</si>
  <si>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</si>
  <si>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</si>
  <si>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</si>
  <si>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</si>
  <si>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</si>
  <si>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</si>
  <si>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</si>
  <si>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</si>
  <si>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</si>
  <si>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</si>
  <si>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</si>
  <si>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</si>
  <si>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</si>
  <si>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</si>
  <si>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</si>
  <si>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</si>
  <si>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</si>
  <si>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</si>
  <si>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</si>
  <si>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</si>
  <si>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</si>
  <si>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</si>
  <si>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</si>
  <si>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</si>
  <si>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</si>
  <si>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</si>
  <si>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</si>
  <si>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</si>
  <si>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</si>
  <si>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</si>
  <si>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</si>
  <si>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</si>
  <si>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</si>
  <si>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</si>
  <si>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</si>
  <si>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</si>
  <si>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</si>
  <si>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</si>
  <si>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</si>
  <si>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</si>
  <si>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</si>
  <si>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</si>
  <si>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</si>
  <si>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</si>
  <si>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</si>
  <si>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</si>
  <si>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</si>
  <si>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</si>
  <si>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</si>
  <si>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</si>
  <si>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</si>
  <si>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</si>
  <si>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</si>
  <si>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</si>
  <si>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</si>
  <si>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</si>
  <si>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</si>
  <si>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</si>
  <si>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</si>
  <si>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</si>
  <si>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</si>
  <si>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</si>
  <si>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</si>
  <si>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</si>
  <si>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</si>
  <si>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</si>
  <si>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</si>
  <si>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</si>
  <si>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</si>
  <si>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</si>
  <si>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</si>
  <si>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</si>
  <si>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</si>
  <si>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</si>
  <si>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</si>
  <si>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</si>
  <si>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</si>
  <si>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</si>
  <si>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</si>
  <si>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</si>
  <si>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</si>
  <si>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</si>
  <si>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</si>
  <si>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</si>
  <si>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</si>
  <si>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</si>
  <si>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</si>
  <si>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</si>
  <si>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</si>
  <si>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</si>
  <si>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</si>
  <si>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</si>
  <si>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</si>
  <si>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</si>
  <si>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</si>
  <si>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</si>
  <si>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</si>
  <si>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</si>
  <si>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</si>
  <si>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</si>
  <si>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</si>
  <si>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</si>
  <si>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</si>
  <si>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</si>
  <si>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</si>
  <si>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</si>
  <si>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</si>
  <si>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</si>
  <si>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</si>
  <si>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</si>
  <si>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</si>
  <si>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</si>
  <si>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</si>
  <si>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</si>
  <si>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</si>
  <si>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</si>
  <si>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</si>
  <si>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</si>
  <si>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</si>
  <si>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</si>
  <si>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</si>
  <si>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</si>
  <si>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</si>
  <si>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</si>
  <si>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</si>
  <si>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</si>
  <si>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</si>
  <si>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</si>
  <si>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</si>
  <si>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</si>
  <si>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</si>
  <si>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</si>
  <si>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</si>
  <si>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</si>
  <si>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</si>
  <si>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</si>
  <si>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</si>
  <si>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</si>
  <si>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</si>
  <si>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</si>
  <si>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</si>
  <si>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</si>
  <si>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</si>
  <si>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</si>
  <si>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</si>
  <si>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</si>
  <si>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</si>
  <si>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</si>
  <si>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</si>
  <si>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</si>
  <si>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</si>
  <si>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</si>
  <si>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</si>
  <si>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</si>
  <si>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</si>
  <si>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</si>
  <si>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</si>
  <si>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</si>
  <si>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</si>
  <si>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</si>
  <si>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</si>
  <si>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</si>
  <si>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</si>
  <si>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</si>
  <si>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</si>
  <si>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</si>
  <si>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</si>
  <si>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</si>
  <si>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</si>
  <si>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</si>
  <si>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</si>
  <si>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</si>
  <si>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</si>
  <si>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</si>
  <si>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</si>
  <si>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</si>
  <si>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</si>
  <si>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</si>
  <si>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</si>
  <si>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</si>
  <si>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</si>
  <si>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</si>
  <si>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</si>
  <si>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</si>
  <si>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</si>
  <si>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</si>
  <si>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</si>
  <si>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</si>
  <si>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</si>
  <si>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</si>
  <si>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</si>
  <si>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</si>
  <si>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</si>
  <si>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</si>
  <si>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</si>
  <si>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</si>
  <si>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</si>
  <si>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</si>
  <si>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</si>
  <si>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</si>
  <si>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</si>
  <si>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</si>
  <si>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</si>
  <si>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</si>
  <si>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</si>
  <si>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</si>
  <si>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</si>
  <si>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</si>
  <si>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</si>
  <si>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</si>
  <si>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</si>
  <si>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</si>
  <si>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</si>
  <si>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</si>
  <si>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</si>
  <si>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</si>
  <si>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</si>
  <si>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</si>
  <si>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</si>
  <si>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</si>
  <si>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</si>
  <si>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</si>
  <si>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</si>
  <si>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</si>
  <si>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</si>
  <si>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</si>
  <si>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</si>
  <si>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</si>
  <si>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</si>
  <si>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</si>
  <si>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</si>
  <si>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</si>
  <si>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</si>
  <si>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</si>
  <si>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</si>
  <si>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</si>
  <si>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</si>
  <si>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</si>
  <si>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</si>
  <si>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</si>
  <si>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</si>
  <si>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</si>
  <si>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</si>
  <si>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</si>
  <si>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</si>
  <si>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</si>
  <si>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</si>
  <si>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</si>
  <si>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</si>
  <si>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</si>
  <si>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</si>
  <si>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</si>
  <si>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</si>
  <si>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</si>
  <si>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</si>
  <si>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</si>
  <si>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</si>
  <si>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</si>
  <si>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</si>
  <si>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</si>
  <si>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</si>
  <si>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</si>
  <si>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</si>
  <si>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</si>
  <si>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</si>
  <si>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</si>
  <si>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</si>
  <si>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</si>
  <si>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</si>
  <si>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</si>
  <si>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</si>
  <si>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</si>
  <si>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</si>
  <si>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</si>
  <si>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</si>
  <si>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</si>
  <si>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</si>
  <si>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</si>
  <si>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</si>
  <si>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</si>
  <si>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</si>
  <si>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</si>
  <si>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</si>
  <si>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</si>
  <si>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</si>
  <si>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</si>
  <si>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</si>
  <si>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</si>
  <si>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</si>
  <si>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</si>
  <si>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</si>
  <si>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</si>
  <si>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</si>
  <si>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</si>
  <si>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</si>
  <si>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</si>
  <si>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</si>
  <si>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</si>
  <si>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</si>
  <si>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</si>
  <si>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</si>
  <si>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</si>
  <si>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</si>
  <si>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</si>
  <si>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</si>
  <si>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</si>
  <si>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</si>
  <si>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</si>
  <si>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</si>
  <si>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</si>
  <si>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</si>
  <si>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</si>
  <si>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</si>
  <si>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</si>
  <si>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</si>
  <si>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</si>
  <si>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</si>
  <si>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</si>
  <si>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</si>
  <si>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</si>
  <si>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</si>
  <si>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</si>
  <si>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</si>
  <si>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</si>
  <si>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</si>
  <si>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</si>
  <si>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</si>
  <si>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</si>
  <si>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</si>
  <si>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</si>
  <si>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</si>
  <si>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</si>
  <si>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</si>
  <si>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</si>
  <si>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</si>
  <si>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</si>
  <si>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</si>
  <si>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</si>
  <si>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</si>
  <si>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</si>
  <si>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</si>
  <si>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</si>
  <si>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</si>
  <si>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</si>
  <si>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</si>
  <si>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</si>
  <si>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</si>
  <si>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</si>
  <si>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</si>
  <si>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</si>
  <si>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</si>
  <si>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</si>
  <si>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</si>
  <si>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</si>
  <si>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</si>
  <si>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</si>
  <si>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</si>
  <si>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</si>
  <si>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</si>
  <si>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</si>
  <si>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</si>
  <si>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</si>
  <si>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</si>
  <si>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</si>
  <si>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</si>
  <si>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</si>
  <si>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</si>
  <si>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</si>
  <si>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</si>
  <si>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</si>
  <si>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</si>
  <si>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</si>
  <si>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</si>
  <si>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</si>
  <si>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</si>
  <si>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</si>
  <si>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</si>
  <si>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</si>
  <si>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</si>
  <si>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</si>
  <si>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</si>
  <si>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</si>
  <si>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</si>
  <si>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</si>
  <si>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</si>
  <si>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</si>
  <si>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</si>
  <si>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</si>
  <si>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</si>
  <si>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</si>
  <si>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</si>
  <si>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</si>
  <si>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</si>
  <si>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</si>
  <si>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</si>
  <si>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</si>
  <si>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</si>
  <si>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</si>
  <si>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</si>
  <si>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</si>
  <si>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</si>
  <si>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</si>
  <si>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</si>
  <si>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</si>
  <si>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</si>
  <si>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</si>
  <si>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</si>
  <si>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</si>
  <si>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</si>
  <si>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</si>
  <si>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</si>
  <si>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</si>
  <si>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</si>
  <si>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</si>
  <si>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</si>
  <si>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</si>
  <si>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</si>
  <si>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</si>
  <si>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</si>
  <si>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</si>
  <si>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</si>
  <si>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</si>
  <si>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</si>
  <si>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</si>
  <si>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</si>
  <si>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</si>
  <si>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</si>
  <si>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</si>
  <si>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</si>
  <si>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</si>
  <si>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</si>
  <si>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</si>
  <si>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</si>
  <si>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</si>
  <si>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</si>
  <si>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</si>
  <si>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</si>
  <si>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</si>
  <si>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</si>
  <si>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</si>
  <si>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</si>
  <si>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</si>
  <si>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</si>
  <si>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</si>
  <si>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</si>
  <si>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</si>
  <si>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</si>
  <si>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</si>
  <si>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</si>
  <si>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</si>
  <si>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</si>
  <si>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</si>
  <si>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</si>
  <si>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</si>
  <si>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</si>
  <si>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</si>
  <si>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</si>
  <si>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</si>
  <si>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</si>
  <si>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</si>
  <si>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</si>
  <si>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</si>
  <si>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</si>
  <si>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</si>
  <si>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</si>
  <si>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</si>
  <si>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</si>
  <si>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</si>
  <si>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</si>
  <si>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</si>
  <si>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</si>
  <si>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</si>
  <si>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</si>
  <si>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</si>
  <si>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</si>
  <si>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</si>
  <si>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</si>
  <si>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</si>
  <si>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</si>
  <si>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</si>
  <si>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</si>
  <si>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</si>
  <si>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</si>
  <si>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</si>
  <si>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</si>
  <si>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</si>
  <si>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</si>
  <si>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</si>
  <si>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</si>
  <si>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</si>
  <si>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</si>
  <si>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</si>
  <si>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</si>
  <si>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</si>
  <si>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</si>
  <si>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</si>
  <si>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</si>
  <si>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</si>
  <si>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</si>
  <si>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</si>
  <si>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</si>
  <si>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</si>
  <si>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</si>
  <si>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</si>
  <si>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</si>
  <si>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</si>
  <si>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</si>
  <si>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</si>
  <si>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</si>
  <si>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</si>
  <si>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</si>
  <si>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</si>
  <si>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</si>
  <si>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</si>
  <si>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</si>
  <si>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</si>
  <si>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</si>
  <si>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</si>
  <si>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</si>
  <si>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</si>
  <si>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</si>
  <si>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</si>
  <si>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</si>
  <si>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</si>
  <si>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</si>
  <si>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</si>
  <si>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</si>
  <si>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</si>
  <si>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</si>
  <si>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</si>
  <si>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</si>
  <si>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</si>
  <si>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</si>
  <si>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</si>
  <si>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</si>
  <si>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</si>
  <si>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</si>
  <si>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</si>
  <si>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</si>
  <si>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</si>
  <si>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</si>
  <si>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</si>
  <si>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</si>
  <si>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</si>
  <si>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</si>
  <si>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</si>
  <si>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</si>
  <si>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</si>
  <si>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</si>
  <si>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</si>
  <si>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</si>
  <si>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</si>
  <si>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</si>
  <si>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</si>
  <si>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</si>
  <si>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</si>
  <si>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</si>
  <si>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</si>
  <si>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</si>
  <si>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</si>
  <si>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</si>
  <si>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</si>
  <si>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</si>
  <si>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</si>
  <si>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</si>
  <si>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</si>
  <si>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</si>
  <si>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</si>
  <si>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</si>
  <si>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</si>
  <si>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</si>
  <si>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</si>
  <si>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</si>
  <si>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</si>
  <si>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</si>
  <si>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</si>
  <si>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</si>
  <si>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</si>
  <si>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</si>
  <si>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</si>
  <si>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</si>
  <si>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</si>
  <si>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</si>
  <si>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</si>
  <si>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</si>
  <si>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</si>
  <si>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</si>
  <si>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</si>
  <si>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</si>
  <si>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</si>
  <si>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</si>
  <si>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</si>
  <si>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</si>
  <si>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</si>
  <si>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</si>
  <si>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</si>
  <si>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</si>
  <si>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</si>
  <si>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</si>
  <si>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</si>
  <si>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</si>
  <si>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</si>
  <si>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</si>
  <si>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</si>
  <si>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</si>
  <si>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</si>
  <si>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</si>
  <si>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</si>
  <si>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</si>
  <si>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</si>
  <si>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</si>
  <si>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</si>
  <si>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</si>
  <si>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</si>
  <si>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</si>
  <si>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</si>
  <si>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</si>
  <si>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</si>
  <si>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</si>
  <si>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</si>
  <si>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</si>
  <si>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</si>
  <si>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</si>
  <si>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</si>
  <si>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</si>
  <si>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</si>
  <si>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</si>
  <si>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</si>
  <si>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</si>
  <si>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</si>
  <si>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</si>
  <si>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</si>
  <si>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</si>
  <si>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</si>
  <si>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</si>
  <si>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</si>
  <si>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</si>
  <si>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</si>
  <si>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</si>
  <si>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</si>
  <si>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</si>
  <si>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</si>
  <si>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</si>
  <si>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</si>
  <si>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</si>
  <si>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</si>
  <si>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</si>
  <si>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</si>
  <si>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</si>
  <si>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</si>
  <si>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</si>
  <si>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</si>
  <si>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</si>
  <si>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</si>
  <si>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</si>
  <si>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</si>
  <si>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</si>
  <si>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</si>
  <si>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</si>
  <si>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</si>
  <si>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</si>
  <si>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</si>
  <si>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</si>
  <si>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</si>
  <si>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</si>
  <si>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</si>
  <si>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</si>
  <si>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设定收益年期(n)</t>
  </si>
  <si>
    <t>售价</t>
  </si>
  <si>
    <t>收益法</t>
  </si>
  <si>
    <t>项目位置</t>
    <phoneticPr fontId="4" type="noConversion"/>
  </si>
  <si>
    <t>住宅</t>
    <phoneticPr fontId="33" type="noConversion"/>
  </si>
  <si>
    <t>南北</t>
    <phoneticPr fontId="4" type="noConversion"/>
  </si>
  <si>
    <t>东南</t>
    <phoneticPr fontId="4" type="noConversion"/>
  </si>
  <si>
    <t>西南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</si>
  <si>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</si>
  <si>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</si>
  <si>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</si>
  <si>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</si>
  <si>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</si>
  <si>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</si>
  <si>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</si>
  <si>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</si>
  <si>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</si>
  <si>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</si>
  <si>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</si>
  <si>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</si>
  <si>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</si>
  <si>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</si>
  <si>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</si>
  <si>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</si>
  <si>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</si>
  <si>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</si>
  <si>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</si>
  <si>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</si>
  <si>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</si>
  <si>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</si>
  <si>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</si>
  <si>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</si>
  <si>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</si>
  <si>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</si>
  <si>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</si>
  <si>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</si>
  <si>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</si>
  <si>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钢混</t>
  </si>
  <si>
    <t>七通</t>
  </si>
  <si>
    <t>平层</t>
  </si>
  <si>
    <t>南</t>
  </si>
  <si>
    <t>比较法-住宅</t>
  </si>
  <si>
    <t>低楼层/16</t>
    <phoneticPr fontId="33" type="noConversion"/>
  </si>
  <si>
    <t>15/16(高楼层）</t>
    <phoneticPr fontId="4" type="noConversion"/>
  </si>
  <si>
    <t>高楼层/16</t>
    <phoneticPr fontId="33" type="noConversion"/>
  </si>
  <si>
    <t>是</t>
  </si>
  <si>
    <t>成本价</t>
  </si>
  <si>
    <t>估价对象所在区域基础设施水平——七通</t>
    <phoneticPr fontId="4" type="noConversion"/>
  </si>
  <si>
    <t>估价对象1（结果表）</t>
  </si>
  <si>
    <t>划拨国有建设用地使用权价值</t>
  </si>
  <si>
    <t>自定义</t>
  </si>
  <si>
    <t>正常操作</t>
  </si>
  <si>
    <t>南北东</t>
    <phoneticPr fontId="4" type="noConversion"/>
  </si>
  <si>
    <t>南北西</t>
    <phoneticPr fontId="4" type="noConversion"/>
  </si>
  <si>
    <t>南</t>
    <phoneticPr fontId="4" type="noConversion"/>
  </si>
  <si>
    <t>东</t>
    <phoneticPr fontId="4" type="noConversion"/>
  </si>
  <si>
    <t>东北</t>
    <phoneticPr fontId="4" type="noConversion"/>
  </si>
  <si>
    <t>西</t>
    <phoneticPr fontId="4" type="noConversion"/>
  </si>
  <si>
    <t>东西北</t>
    <phoneticPr fontId="4" type="noConversion"/>
  </si>
  <si>
    <t>南北</t>
  </si>
  <si>
    <t>中楼层/27</t>
    <phoneticPr fontId="33" type="noConversion"/>
  </si>
  <si>
    <t>高楼层/27</t>
    <phoneticPr fontId="33" type="noConversion"/>
  </si>
  <si>
    <t>简装</t>
  </si>
  <si>
    <t>2</t>
    <phoneticPr fontId="4" type="noConversion"/>
  </si>
  <si>
    <t>城市次干道——燕灵路</t>
    <phoneticPr fontId="4" type="noConversion"/>
  </si>
  <si>
    <t>估价对象所在区域基础设施水平——七通</t>
    <phoneticPr fontId="4" type="noConversion"/>
  </si>
  <si>
    <t>估价对象周边有天佑爱上岛、燕达首尔国际村、壹克拉公寓等住宅小区，综合评价居住社区成熟度一般</t>
  </si>
  <si>
    <t>估价对象周边有天佑爱上岛、燕达首尔国际村、壹克拉公寓等住宅小区，综合评价居住社区成熟度一般</t>
    <phoneticPr fontId="4" type="noConversion"/>
  </si>
  <si>
    <t>以估价对象为中心半径2公里范围内最高级别道路为城市次干道——燕灵路，有快速直达专线61路，综合评价交通便捷度一般</t>
  </si>
  <si>
    <t>以估价对象为中心半径2公里范围内最高级别道路为城市次干道——燕灵路，有快速直达专线61路，综合评价交通便捷度一般</t>
    <phoneticPr fontId="4" type="noConversion"/>
  </si>
  <si>
    <t>估价对象所在区域公共配套设施成熟度一般</t>
  </si>
  <si>
    <t>区域自然环境：燕郊滨河森林公园东区、燕郊植物园等；人文环境：燕京理工学院；综合评价环境状况较好</t>
  </si>
  <si>
    <t>区域自然环境：燕郊滨河森林公园东区、燕郊植物园等；人文环境：燕京理工学院；综合评价环境状况较好</t>
    <phoneticPr fontId="4" type="noConversion"/>
  </si>
  <si>
    <t>估价对象所在区域公共配套设施成熟度一般</t>
    <phoneticPr fontId="4" type="noConversion"/>
  </si>
  <si>
    <t>三河市燕郊开发区燕顺路东侧，密涿支线南侧首尔园甜城一期C2区B28号楼B28-1-501</t>
    <phoneticPr fontId="4" type="noConversion"/>
  </si>
  <si>
    <t>首尔甜城一期</t>
    <phoneticPr fontId="4" type="noConversion"/>
  </si>
  <si>
    <t>60-70（含）</t>
  </si>
  <si>
    <t>次</t>
  </si>
  <si>
    <t>次</t>
    <phoneticPr fontId="33" type="noConversion"/>
  </si>
  <si>
    <t>高楼层/33</t>
    <phoneticPr fontId="33" type="noConversion"/>
  </si>
  <si>
    <t>5/32（低楼层）</t>
    <phoneticPr fontId="33" type="noConversion"/>
  </si>
  <si>
    <t>塔楼</t>
  </si>
  <si>
    <t>毛坯</t>
  </si>
  <si>
    <t>5/32（低楼层）</t>
    <phoneticPr fontId="33" type="noConversion"/>
  </si>
  <si>
    <t>高楼层/33</t>
    <phoneticPr fontId="33" type="noConversion"/>
  </si>
  <si>
    <t>高楼层/33</t>
    <phoneticPr fontId="33" type="noConversion"/>
  </si>
  <si>
    <t>中楼层/33</t>
    <phoneticPr fontId="33" type="noConversion"/>
  </si>
  <si>
    <t>中楼层/33</t>
    <phoneticPr fontId="33" type="noConversion"/>
  </si>
  <si>
    <t>区域自然环境：燕郊滨河森林公园东区、燕郊植物园等；人文环境：燕京理工学院；综合评价环境状况较好</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</si>
</sst>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49" fontId="29" fillId="6" borderId="3" xfId="0" applyNumberFormat="1" applyFont="1" applyFill="1" applyBorder="1" applyAlignment="1" applyProtection="1">
      <alignment horizontal="center" vertical="center" wrapText="1"/>
      <protection locked="0"/>
    </xf>
    <xf numFmtId="0" fontId="65" fillId="0" borderId="6" xfId="0" applyFont="1" applyFill="1" applyBorder="1" applyAlignment="1" applyProtection="1">
      <alignment horizontal="center" vertical="center"/>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84601</xdr:colOff>
      <xdr:row>10</xdr:row>
      <xdr:rowOff>66453</xdr:rowOff>
    </xdr:to>
    <xdr:pic>
      <xdr:nvPicPr>
        <xdr:cNvPr id="15" name="图片 14"/>
        <xdr:cNvPicPr>
          <a:picLocks noChangeAspect="1"/>
        </xdr:cNvPicPr>
      </xdr:nvPicPr>
      <xdr:blipFill>
        <a:blip xmlns:r="http://schemas.openxmlformats.org/officeDocument/2006/relationships" r:embed="rId1"/>
        <a:stretch>
          <a:fillRect/>
        </a:stretch>
      </xdr:blipFill>
      <xdr:spPr>
        <a:xfrm>
          <a:off x="0" y="0"/>
          <a:ext cx="9000001" cy="1780953"/>
        </a:xfrm>
        <a:prstGeom prst="rect">
          <a:avLst/>
        </a:prstGeom>
      </xdr:spPr>
    </xdr:pic>
    <xdr:clientData/>
  </xdr:twoCellAnchor>
  <xdr:twoCellAnchor editAs="oneCell">
    <xdr:from>
      <xdr:col>7</xdr:col>
      <xdr:colOff>438150</xdr:colOff>
      <xdr:row>6</xdr:row>
      <xdr:rowOff>38100</xdr:rowOff>
    </xdr:from>
    <xdr:to>
      <xdr:col>18</xdr:col>
      <xdr:colOff>8225</xdr:colOff>
      <xdr:row>30</xdr:row>
      <xdr:rowOff>36721</xdr:rowOff>
    </xdr:to>
    <xdr:pic>
      <xdr:nvPicPr>
        <xdr:cNvPr id="16" name="图片 15"/>
        <xdr:cNvPicPr>
          <a:picLocks noChangeAspect="1"/>
        </xdr:cNvPicPr>
      </xdr:nvPicPr>
      <xdr:blipFill>
        <a:blip xmlns:r="http://schemas.openxmlformats.org/officeDocument/2006/relationships" r:embed="rId2"/>
        <a:stretch>
          <a:fillRect/>
        </a:stretch>
      </xdr:blipFill>
      <xdr:spPr>
        <a:xfrm>
          <a:off x="5238750" y="1066800"/>
          <a:ext cx="7113875" cy="4113421"/>
        </a:xfrm>
        <a:prstGeom prst="rect">
          <a:avLst/>
        </a:prstGeom>
      </xdr:spPr>
    </xdr:pic>
    <xdr:clientData/>
  </xdr:twoCellAnchor>
  <xdr:twoCellAnchor editAs="oneCell">
    <xdr:from>
      <xdr:col>0</xdr:col>
      <xdr:colOff>0</xdr:colOff>
      <xdr:row>11</xdr:row>
      <xdr:rowOff>0</xdr:rowOff>
    </xdr:from>
    <xdr:to>
      <xdr:col>7</xdr:col>
      <xdr:colOff>415241</xdr:colOff>
      <xdr:row>29</xdr:row>
      <xdr:rowOff>95249</xdr:rowOff>
    </xdr:to>
    <xdr:pic>
      <xdr:nvPicPr>
        <xdr:cNvPr id="17" name="图片 16"/>
        <xdr:cNvPicPr>
          <a:picLocks noChangeAspect="1"/>
        </xdr:cNvPicPr>
      </xdr:nvPicPr>
      <xdr:blipFill>
        <a:blip xmlns:r="http://schemas.openxmlformats.org/officeDocument/2006/relationships" r:embed="rId3"/>
        <a:stretch>
          <a:fillRect/>
        </a:stretch>
      </xdr:blipFill>
      <xdr:spPr>
        <a:xfrm>
          <a:off x="0" y="1885950"/>
          <a:ext cx="5215841" cy="3181349"/>
        </a:xfrm>
        <a:prstGeom prst="rect">
          <a:avLst/>
        </a:prstGeom>
      </xdr:spPr>
    </xdr:pic>
    <xdr:clientData/>
  </xdr:twoCellAnchor>
  <xdr:twoCellAnchor editAs="oneCell">
    <xdr:from>
      <xdr:col>0</xdr:col>
      <xdr:colOff>0</xdr:colOff>
      <xdr:row>31</xdr:row>
      <xdr:rowOff>0</xdr:rowOff>
    </xdr:from>
    <xdr:to>
      <xdr:col>13</xdr:col>
      <xdr:colOff>198886</xdr:colOff>
      <xdr:row>41</xdr:row>
      <xdr:rowOff>161691</xdr:rowOff>
    </xdr:to>
    <xdr:pic>
      <xdr:nvPicPr>
        <xdr:cNvPr id="18" name="图片 17"/>
        <xdr:cNvPicPr>
          <a:picLocks noChangeAspect="1"/>
        </xdr:cNvPicPr>
      </xdr:nvPicPr>
      <xdr:blipFill>
        <a:blip xmlns:r="http://schemas.openxmlformats.org/officeDocument/2006/relationships" r:embed="rId4"/>
        <a:stretch>
          <a:fillRect/>
        </a:stretch>
      </xdr:blipFill>
      <xdr:spPr>
        <a:xfrm>
          <a:off x="0" y="5314950"/>
          <a:ext cx="9114286" cy="1876191"/>
        </a:xfrm>
        <a:prstGeom prst="rect">
          <a:avLst/>
        </a:prstGeom>
      </xdr:spPr>
    </xdr:pic>
    <xdr:clientData/>
  </xdr:twoCellAnchor>
  <xdr:twoCellAnchor editAs="oneCell">
    <xdr:from>
      <xdr:col>7</xdr:col>
      <xdr:colOff>571500</xdr:colOff>
      <xdr:row>37</xdr:row>
      <xdr:rowOff>47626</xdr:rowOff>
    </xdr:from>
    <xdr:to>
      <xdr:col>18</xdr:col>
      <xdr:colOff>303492</xdr:colOff>
      <xdr:row>61</xdr:row>
      <xdr:rowOff>136764</xdr:rowOff>
    </xdr:to>
    <xdr:pic>
      <xdr:nvPicPr>
        <xdr:cNvPr id="19" name="图片 18"/>
        <xdr:cNvPicPr>
          <a:picLocks noChangeAspect="1"/>
        </xdr:cNvPicPr>
      </xdr:nvPicPr>
      <xdr:blipFill>
        <a:blip xmlns:r="http://schemas.openxmlformats.org/officeDocument/2006/relationships" r:embed="rId5"/>
        <a:stretch>
          <a:fillRect/>
        </a:stretch>
      </xdr:blipFill>
      <xdr:spPr>
        <a:xfrm>
          <a:off x="5372100" y="6391276"/>
          <a:ext cx="7275792" cy="4203938"/>
        </a:xfrm>
        <a:prstGeom prst="rect">
          <a:avLst/>
        </a:prstGeom>
      </xdr:spPr>
    </xdr:pic>
    <xdr:clientData/>
  </xdr:twoCellAnchor>
  <xdr:twoCellAnchor editAs="oneCell">
    <xdr:from>
      <xdr:col>0</xdr:col>
      <xdr:colOff>0</xdr:colOff>
      <xdr:row>42</xdr:row>
      <xdr:rowOff>0</xdr:rowOff>
    </xdr:from>
    <xdr:to>
      <xdr:col>7</xdr:col>
      <xdr:colOff>639474</xdr:colOff>
      <xdr:row>61</xdr:row>
      <xdr:rowOff>161925</xdr:rowOff>
    </xdr:to>
    <xdr:pic>
      <xdr:nvPicPr>
        <xdr:cNvPr id="20" name="图片 19"/>
        <xdr:cNvPicPr>
          <a:picLocks noChangeAspect="1"/>
        </xdr:cNvPicPr>
      </xdr:nvPicPr>
      <xdr:blipFill>
        <a:blip xmlns:r="http://schemas.openxmlformats.org/officeDocument/2006/relationships" r:embed="rId6"/>
        <a:stretch>
          <a:fillRect/>
        </a:stretch>
      </xdr:blipFill>
      <xdr:spPr>
        <a:xfrm>
          <a:off x="0" y="7200900"/>
          <a:ext cx="5440074" cy="3419475"/>
        </a:xfrm>
        <a:prstGeom prst="rect">
          <a:avLst/>
        </a:prstGeom>
      </xdr:spPr>
    </xdr:pic>
    <xdr:clientData/>
  </xdr:twoCellAnchor>
  <xdr:twoCellAnchor editAs="oneCell">
    <xdr:from>
      <xdr:col>0</xdr:col>
      <xdr:colOff>0</xdr:colOff>
      <xdr:row>63</xdr:row>
      <xdr:rowOff>0</xdr:rowOff>
    </xdr:from>
    <xdr:to>
      <xdr:col>13</xdr:col>
      <xdr:colOff>217934</xdr:colOff>
      <xdr:row>73</xdr:row>
      <xdr:rowOff>37881</xdr:rowOff>
    </xdr:to>
    <xdr:pic>
      <xdr:nvPicPr>
        <xdr:cNvPr id="22" name="图片 21"/>
        <xdr:cNvPicPr>
          <a:picLocks noChangeAspect="1"/>
        </xdr:cNvPicPr>
      </xdr:nvPicPr>
      <xdr:blipFill>
        <a:blip xmlns:r="http://schemas.openxmlformats.org/officeDocument/2006/relationships" r:embed="rId7"/>
        <a:stretch>
          <a:fillRect/>
        </a:stretch>
      </xdr:blipFill>
      <xdr:spPr>
        <a:xfrm>
          <a:off x="0" y="10801350"/>
          <a:ext cx="9133334" cy="1752381"/>
        </a:xfrm>
        <a:prstGeom prst="rect">
          <a:avLst/>
        </a:prstGeom>
      </xdr:spPr>
    </xdr:pic>
    <xdr:clientData/>
  </xdr:twoCellAnchor>
  <xdr:twoCellAnchor editAs="oneCell">
    <xdr:from>
      <xdr:col>7</xdr:col>
      <xdr:colOff>9525</xdr:colOff>
      <xdr:row>69</xdr:row>
      <xdr:rowOff>38100</xdr:rowOff>
    </xdr:from>
    <xdr:to>
      <xdr:col>17</xdr:col>
      <xdr:colOff>36775</xdr:colOff>
      <xdr:row>92</xdr:row>
      <xdr:rowOff>31827</xdr:rowOff>
    </xdr:to>
    <xdr:pic>
      <xdr:nvPicPr>
        <xdr:cNvPr id="26" name="图片 25"/>
        <xdr:cNvPicPr>
          <a:picLocks noChangeAspect="1"/>
        </xdr:cNvPicPr>
      </xdr:nvPicPr>
      <xdr:blipFill>
        <a:blip xmlns:r="http://schemas.openxmlformats.org/officeDocument/2006/relationships" r:embed="rId8"/>
        <a:stretch>
          <a:fillRect/>
        </a:stretch>
      </xdr:blipFill>
      <xdr:spPr>
        <a:xfrm>
          <a:off x="4810125" y="11868150"/>
          <a:ext cx="6885250" cy="3937077"/>
        </a:xfrm>
        <a:prstGeom prst="rect">
          <a:avLst/>
        </a:prstGeom>
      </xdr:spPr>
    </xdr:pic>
    <xdr:clientData/>
  </xdr:twoCellAnchor>
  <xdr:twoCellAnchor editAs="oneCell">
    <xdr:from>
      <xdr:col>0</xdr:col>
      <xdr:colOff>0</xdr:colOff>
      <xdr:row>74</xdr:row>
      <xdr:rowOff>0</xdr:rowOff>
    </xdr:from>
    <xdr:to>
      <xdr:col>6</xdr:col>
      <xdr:colOff>678832</xdr:colOff>
      <xdr:row>92</xdr:row>
      <xdr:rowOff>47625</xdr:rowOff>
    </xdr:to>
    <xdr:pic>
      <xdr:nvPicPr>
        <xdr:cNvPr id="27" name="图片 26"/>
        <xdr:cNvPicPr>
          <a:picLocks noChangeAspect="1"/>
        </xdr:cNvPicPr>
      </xdr:nvPicPr>
      <xdr:blipFill>
        <a:blip xmlns:r="http://schemas.openxmlformats.org/officeDocument/2006/relationships" r:embed="rId9"/>
        <a:stretch>
          <a:fillRect/>
        </a:stretch>
      </xdr:blipFill>
      <xdr:spPr>
        <a:xfrm>
          <a:off x="0" y="12687300"/>
          <a:ext cx="4793632" cy="3133725"/>
        </a:xfrm>
        <a:prstGeom prst="rect">
          <a:avLst/>
        </a:prstGeom>
      </xdr:spPr>
    </xdr:pic>
    <xdr:clientData/>
  </xdr:twoCellAnchor>
  <xdr:twoCellAnchor editAs="oneCell">
    <xdr:from>
      <xdr:col>0</xdr:col>
      <xdr:colOff>0</xdr:colOff>
      <xdr:row>95</xdr:row>
      <xdr:rowOff>0</xdr:rowOff>
    </xdr:from>
    <xdr:to>
      <xdr:col>13</xdr:col>
      <xdr:colOff>236982</xdr:colOff>
      <xdr:row>104</xdr:row>
      <xdr:rowOff>28379</xdr:rowOff>
    </xdr:to>
    <xdr:pic>
      <xdr:nvPicPr>
        <xdr:cNvPr id="28" name="图片 27"/>
        <xdr:cNvPicPr>
          <a:picLocks noChangeAspect="1"/>
        </xdr:cNvPicPr>
      </xdr:nvPicPr>
      <xdr:blipFill>
        <a:blip xmlns:r="http://schemas.openxmlformats.org/officeDocument/2006/relationships" r:embed="rId10"/>
        <a:stretch>
          <a:fillRect/>
        </a:stretch>
      </xdr:blipFill>
      <xdr:spPr>
        <a:xfrm>
          <a:off x="0" y="16287750"/>
          <a:ext cx="9152382" cy="1571429"/>
        </a:xfrm>
        <a:prstGeom prst="rect">
          <a:avLst/>
        </a:prstGeom>
      </xdr:spPr>
    </xdr:pic>
    <xdr:clientData/>
  </xdr:twoCellAnchor>
  <xdr:twoCellAnchor editAs="oneCell">
    <xdr:from>
      <xdr:col>0</xdr:col>
      <xdr:colOff>0</xdr:colOff>
      <xdr:row>105</xdr:row>
      <xdr:rowOff>0</xdr:rowOff>
    </xdr:from>
    <xdr:to>
      <xdr:col>13</xdr:col>
      <xdr:colOff>217934</xdr:colOff>
      <xdr:row>114</xdr:row>
      <xdr:rowOff>56950</xdr:rowOff>
    </xdr:to>
    <xdr:pic>
      <xdr:nvPicPr>
        <xdr:cNvPr id="29" name="图片 28"/>
        <xdr:cNvPicPr>
          <a:picLocks noChangeAspect="1"/>
        </xdr:cNvPicPr>
      </xdr:nvPicPr>
      <xdr:blipFill>
        <a:blip xmlns:r="http://schemas.openxmlformats.org/officeDocument/2006/relationships" r:embed="rId11"/>
        <a:stretch>
          <a:fillRect/>
        </a:stretch>
      </xdr:blipFill>
      <xdr:spPr>
        <a:xfrm>
          <a:off x="0" y="18002250"/>
          <a:ext cx="9133334" cy="16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估价对象为北京市房地产，为所有。根据《不动产权证书》[]，估价对象建筑面积为80.09平方米，（分摊）出让国有建设用地使用权面积为平方米。估价对象用途为。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2017年8月22日（评估专业人员实地查勘之日）</v>
      </c>
    </row>
    <row r="10" spans="1:2">
      <c r="A10" s="2853" t="s">
        <v>2675</v>
      </c>
      <c r="B10" s="2840" t="str">
        <f>'预评函-1'!A13</f>
        <v>本次估价的“房地产价值”是指在正常市场情况下，在价值时点2017年8月22日，估价对象规划用途为，假定未设立法定优先受偿款下的房地产市场价值。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80.09</v>
      </c>
    </row>
    <row r="19" spans="1:2">
      <c r="A19" s="2853" t="s">
        <v>2684</v>
      </c>
      <c r="B19" s="2840">
        <f ca="1">'预评函-2（1）'!D7</f>
        <v>1871543</v>
      </c>
    </row>
    <row r="20" spans="1:2">
      <c r="A20" s="2853" t="s">
        <v>2732</v>
      </c>
      <c r="B20" s="2840" t="str">
        <f>'预评函-2（1）'!C7</f>
        <v>总价（元）</v>
      </c>
    </row>
    <row r="21" spans="1:2">
      <c r="A21" s="2853" t="s">
        <v>2685</v>
      </c>
      <c r="B21" s="2840">
        <f ca="1">'预评函-2（1）'!D9</f>
        <v>23368</v>
      </c>
    </row>
    <row r="22" spans="1:2">
      <c r="A22" s="2853" t="s">
        <v>2686</v>
      </c>
      <c r="B22" s="2840" t="str">
        <f ca="1">'预评函-2（1）'!D8</f>
        <v>壹佰捌拾柒万壹仟伍佰肆拾叁元整</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1871543</v>
      </c>
    </row>
    <row r="30" spans="1:2">
      <c r="A30" s="2853" t="s">
        <v>2692</v>
      </c>
      <c r="B30" s="2840" t="str">
        <f ca="1">'预评函-2（1）'!D16</f>
        <v>壹佰捌拾柒万壹仟伍佰肆拾叁元整</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'预评函-2（2）'!D4</f>
        <v>0</v>
      </c>
    </row>
    <row r="38" spans="1:2">
      <c r="A38" s="2853" t="s">
        <v>2700</v>
      </c>
      <c r="B38" s="2840">
        <f>'预评函-2（2）'!E4</f>
        <v>0</v>
      </c>
    </row>
    <row r="39" spans="1:2">
      <c r="A39" s="2853" t="s">
        <v>2701</v>
      </c>
      <c r="B39" s="2840" t="str">
        <f>'预评函-2（2）'!D5</f>
        <v>零元整</v>
      </c>
    </row>
    <row r="40" spans="1:2">
      <c r="A40" s="2853" t="s">
        <v>2702</v>
      </c>
      <c r="B40" s="2840">
        <f>'预评函-2（2）'!F4</f>
        <v>0</v>
      </c>
    </row>
    <row r="41" spans="1:2">
      <c r="A41" s="2853" t="s">
        <v>2703</v>
      </c>
      <c r="B41" s="2840">
        <f>'预评函-2（2）'!G4</f>
        <v>0</v>
      </c>
    </row>
    <row r="42" spans="1:2" s="2850" customFormat="1" ht="15.75" thickBot="1">
      <c r="A42" s="2854" t="s">
        <v>2704</v>
      </c>
      <c r="B42" s="2842" t="str">
        <f>'预评函-2（2）'!F5</f>
        <v>零元整</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划拨国有建设用地使用权价值</v>
      </c>
    </row>
    <row r="61" spans="1:2" s="2852" customFormat="1">
      <c r="A61" s="2856" t="s">
        <v>2742</v>
      </c>
      <c r="B61" s="2840" t="str">
        <f>'预评函-2（2）'!A14</f>
        <v>单位：平方米、元、元/平方米（币种：人民币）</v>
      </c>
    </row>
    <row r="62" spans="1:2" ht="28.5">
      <c r="A62" s="2856" t="s">
        <v>2907</v>
      </c>
      <c r="B62" s="2840">
        <f ca="1">'预评函-2（1）'!D38</f>
        <v>23368</v>
      </c>
    </row>
    <row r="63" spans="1:2" s="2852" customFormat="1" ht="28.5">
      <c r="A63" s="2856" t="s">
        <v>2908</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5" sqref="B35"/>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42969</v>
      </c>
      <c r="C2" s="1829" t="s">
        <v>1984</v>
      </c>
      <c r="D2" s="1877">
        <v>42969</v>
      </c>
      <c r="E2" s="1830"/>
      <c r="F2" s="1830"/>
      <c r="G2" s="2824"/>
      <c r="H2" s="1723"/>
    </row>
    <row r="3" spans="1:15" ht="13.5" thickBot="1">
      <c r="A3" s="2825" t="s">
        <v>1996</v>
      </c>
      <c r="B3" s="1832" t="s">
        <v>2910</v>
      </c>
      <c r="C3" s="1833">
        <f ca="1">SUMIF(注册房地产估价师,B3,估价师及机构信息!B3:B24)</f>
        <v>1119970111</v>
      </c>
      <c r="D3" s="1832" t="s">
        <v>2911</v>
      </c>
      <c r="E3" s="1834">
        <f ca="1">SUMIF(注册房地产估价师,D3,估价师及机构信息!B3:B24)</f>
        <v>1120060040</v>
      </c>
      <c r="F3" s="1835"/>
      <c r="G3" s="2826"/>
      <c r="H3" s="1723"/>
    </row>
    <row r="4" spans="1:15" ht="13.5" customHeight="1" thickTop="1">
      <c r="A4" s="2827" t="s">
        <v>1887</v>
      </c>
      <c r="B4" s="1836"/>
      <c r="C4" s="1837" t="s">
        <v>1889</v>
      </c>
      <c r="D4" s="1838" t="s">
        <v>2912</v>
      </c>
      <c r="E4" s="1830"/>
      <c r="F4" s="1830"/>
      <c r="G4" s="2824"/>
    </row>
    <row r="5" spans="1:15">
      <c r="A5" s="2828" t="s">
        <v>1888</v>
      </c>
      <c r="B5" s="1717"/>
      <c r="C5" s="1660" t="s">
        <v>1890</v>
      </c>
      <c r="D5" s="1847" t="s">
        <v>2913</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2914</v>
      </c>
      <c r="C6" s="1668"/>
      <c r="D6" s="1669" t="s">
        <v>1892</v>
      </c>
      <c r="E6" s="1725"/>
      <c r="F6" s="1724"/>
      <c r="G6" s="1855"/>
      <c r="I6" s="1869" t="str">
        <f>IF(COUNTIF(B5,"*上海银行*"),"上海银行","")</f>
        <v/>
      </c>
    </row>
    <row r="7" spans="1:15" ht="13.5" thickBot="1">
      <c r="A7" s="2825" t="s">
        <v>1821</v>
      </c>
      <c r="B7" s="1839" t="s">
        <v>2915</v>
      </c>
      <c r="C7" s="1840" t="str">
        <f>IF(B7="自然人","姓名","名称")</f>
        <v>姓名</v>
      </c>
      <c r="D7" s="1841"/>
      <c r="E7" s="1842"/>
      <c r="F7" s="1835"/>
      <c r="G7" s="2826"/>
    </row>
    <row r="8" spans="1:15" ht="13.5" thickTop="1">
      <c r="A8" s="3186" t="s">
        <v>1893</v>
      </c>
      <c r="B8" s="1796" t="s">
        <v>1894</v>
      </c>
      <c r="C8" s="3199"/>
      <c r="D8" s="3200"/>
      <c r="E8" s="1702" t="s">
        <v>1898</v>
      </c>
      <c r="F8" s="1696" t="s">
        <v>1891</v>
      </c>
      <c r="G8" s="978">
        <f>C6</f>
        <v>0</v>
      </c>
    </row>
    <row r="9" spans="1:15" ht="24">
      <c r="A9" s="3186"/>
      <c r="B9" s="1643" t="s">
        <v>1903</v>
      </c>
      <c r="C9" s="1717" t="s">
        <v>2917</v>
      </c>
      <c r="D9" s="1719" t="s">
        <v>2916</v>
      </c>
      <c r="E9" s="1697" t="s">
        <v>1792</v>
      </c>
      <c r="F9" s="1671"/>
      <c r="G9" s="1698"/>
    </row>
    <row r="10" spans="1:15" ht="13.5" thickBot="1">
      <c r="A10" s="3186"/>
      <c r="B10" s="1643" t="s">
        <v>1818</v>
      </c>
      <c r="C10" s="3201"/>
      <c r="D10" s="3202"/>
      <c r="E10" s="1699" t="s">
        <v>1793</v>
      </c>
      <c r="F10" s="1700"/>
      <c r="G10" s="1701"/>
    </row>
    <row r="11" spans="1:15" ht="13.5" thickBot="1">
      <c r="A11" s="3186"/>
      <c r="B11" s="1815" t="s">
        <v>1819</v>
      </c>
      <c r="C11" s="3203"/>
      <c r="D11" s="3204"/>
      <c r="E11" s="1725"/>
      <c r="F11" s="1724"/>
      <c r="G11" s="1855"/>
    </row>
    <row r="12" spans="1:15" ht="24.75" thickBot="1">
      <c r="A12" s="3190" t="s">
        <v>2293</v>
      </c>
      <c r="B12" s="1694" t="s">
        <v>2298</v>
      </c>
      <c r="C12" s="1705">
        <v>80.09</v>
      </c>
      <c r="D12" s="1694" t="s">
        <v>1886</v>
      </c>
      <c r="E12" s="1720" t="s">
        <v>2899</v>
      </c>
      <c r="F12" s="2661" t="s">
        <v>2900</v>
      </c>
      <c r="G12" s="1855"/>
    </row>
    <row r="13" spans="1:15" ht="21" customHeight="1" thickBot="1">
      <c r="A13" s="3191"/>
      <c r="B13" s="1695" t="s">
        <v>2299</v>
      </c>
      <c r="C13" s="1706"/>
      <c r="D13" s="1695" t="s">
        <v>1886</v>
      </c>
      <c r="E13" s="1707" t="s">
        <v>2899</v>
      </c>
      <c r="F13" s="1724"/>
      <c r="G13" s="1855"/>
      <c r="I13" s="3209"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209"/>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209"/>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2901</v>
      </c>
      <c r="D16" s="1822" t="s">
        <v>2003</v>
      </c>
      <c r="E16" s="1823"/>
      <c r="F16" s="1849" t="str">
        <f>IF(AND(C16="是",E16="否"),"是否提供他项权证或相关说明","")</f>
        <v/>
      </c>
      <c r="G16" s="1823"/>
      <c r="J16" s="1026"/>
      <c r="K16" s="1868"/>
      <c r="L16" s="1868"/>
      <c r="M16" s="1868"/>
      <c r="O16" s="1869"/>
    </row>
    <row r="17" spans="1:15" ht="13.5" customHeight="1">
      <c r="A17" s="1814" t="s">
        <v>1979</v>
      </c>
      <c r="B17" s="3205" t="s">
        <v>1998</v>
      </c>
      <c r="C17" s="3206"/>
      <c r="D17" s="3207" t="s">
        <v>1999</v>
      </c>
      <c r="E17" s="3208"/>
      <c r="F17" s="3095" t="s">
        <v>2000</v>
      </c>
      <c r="G17" s="3097"/>
      <c r="J17" s="1026"/>
    </row>
    <row r="18" spans="1:15" ht="24">
      <c r="A18" s="1814"/>
      <c r="B18" s="1878" t="s">
        <v>2902</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193" t="s">
        <v>1896</v>
      </c>
      <c r="D27" s="3194"/>
      <c r="E27" s="1682"/>
      <c r="F27" s="1693" t="s">
        <v>1864</v>
      </c>
      <c r="G27" s="1682"/>
      <c r="I27" s="1029"/>
      <c r="K27" s="1851"/>
    </row>
    <row r="28" spans="1:15">
      <c r="A28" s="1687" t="s">
        <v>1823</v>
      </c>
      <c r="B28" s="1722"/>
      <c r="C28" s="3195" t="s">
        <v>1811</v>
      </c>
      <c r="D28" s="3196"/>
      <c r="E28" s="1722"/>
      <c r="F28" s="2819" t="s">
        <v>1824</v>
      </c>
      <c r="G28" s="1634"/>
      <c r="I28" s="1029"/>
      <c r="K28" s="1851"/>
    </row>
    <row r="29" spans="1:15">
      <c r="A29" s="1687" t="s">
        <v>1822</v>
      </c>
      <c r="B29" s="1634"/>
      <c r="C29" s="3195" t="s">
        <v>1809</v>
      </c>
      <c r="D29" s="3196"/>
      <c r="E29" s="1634"/>
      <c r="F29" s="2819" t="s">
        <v>1825</v>
      </c>
      <c r="G29" s="1634"/>
      <c r="I29" s="1029"/>
      <c r="K29" s="1851"/>
    </row>
    <row r="30" spans="1:15">
      <c r="A30" s="1686" t="s">
        <v>1837</v>
      </c>
      <c r="B30" s="1634"/>
      <c r="C30" s="3215" t="s">
        <v>1812</v>
      </c>
      <c r="D30" s="1716"/>
      <c r="E30" s="1726" t="str">
        <f>E31&amp;" "&amp;E32&amp;" "&amp;E33&amp;" "&amp;E34</f>
        <v xml:space="preserve">   </v>
      </c>
      <c r="F30" s="2819" t="s">
        <v>1827</v>
      </c>
      <c r="G30" s="1634"/>
    </row>
    <row r="31" spans="1:15">
      <c r="A31" s="1687" t="s">
        <v>1826</v>
      </c>
      <c r="B31" s="1634"/>
      <c r="C31" s="3216"/>
      <c r="D31" s="1692" t="s">
        <v>1838</v>
      </c>
      <c r="E31" s="1634"/>
      <c r="F31" s="2819" t="s">
        <v>1829</v>
      </c>
      <c r="G31" s="1634"/>
    </row>
    <row r="32" spans="1:15" ht="24.75" thickBot="1">
      <c r="A32" s="1688" t="s">
        <v>1828</v>
      </c>
      <c r="B32" s="1683"/>
      <c r="C32" s="3216"/>
      <c r="D32" s="1692" t="s">
        <v>1839</v>
      </c>
      <c r="E32" s="1634"/>
      <c r="F32" s="2819" t="s">
        <v>1830</v>
      </c>
      <c r="G32" s="1634"/>
    </row>
    <row r="33" spans="1:7">
      <c r="A33" s="1709" t="s">
        <v>1836</v>
      </c>
      <c r="B33" s="1682"/>
      <c r="C33" s="3216"/>
      <c r="D33" s="1692" t="s">
        <v>1840</v>
      </c>
      <c r="E33" s="1634"/>
      <c r="F33" s="2819" t="s">
        <v>1832</v>
      </c>
      <c r="G33" s="1634"/>
    </row>
    <row r="34" spans="1:7" ht="13.5" thickBot="1">
      <c r="A34" s="1687" t="s">
        <v>1865</v>
      </c>
      <c r="B34" s="1722" t="s">
        <v>2917</v>
      </c>
      <c r="C34" s="3217"/>
      <c r="D34" s="1692" t="s">
        <v>1841</v>
      </c>
      <c r="E34" s="1634"/>
      <c r="F34" s="2820" t="s">
        <v>1834</v>
      </c>
      <c r="G34" s="1684"/>
    </row>
    <row r="35" spans="1:7">
      <c r="A35" s="1687" t="s">
        <v>1833</v>
      </c>
      <c r="B35" s="1634">
        <v>80.09</v>
      </c>
      <c r="C35" s="3195" t="s">
        <v>1813</v>
      </c>
      <c r="D35" s="3196"/>
      <c r="E35" s="1634"/>
      <c r="F35" s="1711" t="s">
        <v>1866</v>
      </c>
      <c r="G35" s="1682"/>
    </row>
    <row r="36" spans="1:7" ht="24.75" thickBot="1">
      <c r="A36" s="1687" t="s">
        <v>1867</v>
      </c>
      <c r="B36" s="1634"/>
      <c r="C36" s="3197" t="s">
        <v>1814</v>
      </c>
      <c r="D36" s="3198"/>
      <c r="E36" s="1683"/>
      <c r="F36" s="2818" t="s">
        <v>1868</v>
      </c>
      <c r="G36" s="1634"/>
    </row>
    <row r="37" spans="1:7" ht="13.5" thickBot="1">
      <c r="A37" s="1687" t="s">
        <v>1869</v>
      </c>
      <c r="B37" s="1634"/>
      <c r="C37" s="3187" t="s">
        <v>1815</v>
      </c>
      <c r="D37" s="2817" t="s">
        <v>1847</v>
      </c>
      <c r="E37" s="1682"/>
      <c r="F37" s="2820" t="s">
        <v>1870</v>
      </c>
      <c r="G37" s="1683"/>
    </row>
    <row r="38" spans="1:7">
      <c r="A38" s="1687" t="s">
        <v>1831</v>
      </c>
      <c r="B38" s="1634"/>
      <c r="C38" s="3188"/>
      <c r="D38" s="1692" t="s">
        <v>1848</v>
      </c>
      <c r="E38" s="1634"/>
      <c r="F38" s="1693" t="s">
        <v>1875</v>
      </c>
      <c r="G38" s="1682"/>
    </row>
    <row r="39" spans="1:7">
      <c r="A39" s="1687" t="s">
        <v>1872</v>
      </c>
      <c r="B39" s="1634"/>
      <c r="C39" s="3188" t="s">
        <v>1897</v>
      </c>
      <c r="D39" s="1692" t="s">
        <v>1845</v>
      </c>
      <c r="E39" s="1634"/>
      <c r="F39" s="2819" t="s">
        <v>1878</v>
      </c>
      <c r="G39" s="1634"/>
    </row>
    <row r="40" spans="1:7" ht="24.75" customHeight="1" thickBot="1">
      <c r="A40" s="1688" t="s">
        <v>1874</v>
      </c>
      <c r="B40" s="1683"/>
      <c r="C40" s="3189"/>
      <c r="D40" s="2816" t="s">
        <v>1846</v>
      </c>
      <c r="E40" s="1683"/>
      <c r="F40" s="2820" t="s">
        <v>1880</v>
      </c>
      <c r="G40" s="1683"/>
    </row>
    <row r="41" spans="1:7">
      <c r="A41" s="1691" t="s">
        <v>1877</v>
      </c>
      <c r="B41" s="1790"/>
      <c r="C41" s="3210" t="s">
        <v>1817</v>
      </c>
      <c r="D41" s="3211"/>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212" t="s">
        <v>1810</v>
      </c>
      <c r="D48" s="3213"/>
      <c r="E48" s="1777"/>
      <c r="F48" s="2820" t="s">
        <v>1873</v>
      </c>
      <c r="G48" s="1683"/>
    </row>
    <row r="49" spans="1:15">
      <c r="A49" s="1687" t="s">
        <v>1876</v>
      </c>
      <c r="B49" s="1776"/>
      <c r="C49" s="3187" t="s">
        <v>1842</v>
      </c>
      <c r="D49" s="3214"/>
      <c r="E49" s="1779"/>
      <c r="F49" s="1873"/>
      <c r="G49" s="1874"/>
    </row>
    <row r="50" spans="1:15" ht="13.5" thickBot="1">
      <c r="A50" s="1689" t="s">
        <v>1835</v>
      </c>
      <c r="B50" s="1776"/>
      <c r="C50" s="3189" t="s">
        <v>1816</v>
      </c>
      <c r="D50" s="3192"/>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8" t="s">
        <v>2</v>
      </c>
      <c r="B1" s="3158" t="s">
        <v>22</v>
      </c>
      <c r="C1" s="3158" t="s">
        <v>23</v>
      </c>
      <c r="D1" s="3218" t="s">
        <v>207</v>
      </c>
      <c r="E1" s="3218" t="s">
        <v>208</v>
      </c>
      <c r="F1" s="3218"/>
      <c r="G1" s="3218"/>
      <c r="H1" s="3218"/>
      <c r="I1" s="3218"/>
      <c r="J1" s="3218"/>
      <c r="K1" s="3218"/>
      <c r="L1" s="3218"/>
      <c r="M1" s="3218"/>
    </row>
    <row r="2" spans="1:13" ht="27" customHeight="1">
      <c r="A2" s="3158"/>
      <c r="B2" s="3158"/>
      <c r="C2" s="3158"/>
      <c r="D2" s="3218"/>
      <c r="E2" s="3218" t="s">
        <v>191</v>
      </c>
      <c r="F2" s="3218" t="s">
        <v>192</v>
      </c>
      <c r="G2" s="3218"/>
      <c r="H2" s="3218"/>
      <c r="I2" s="3218"/>
      <c r="J2" s="3218" t="s">
        <v>193</v>
      </c>
      <c r="K2" s="3218"/>
      <c r="L2" s="3218"/>
      <c r="M2" s="3218"/>
    </row>
    <row r="3" spans="1:13" ht="28.5">
      <c r="A3" s="3158"/>
      <c r="B3" s="3158"/>
      <c r="C3" s="3158"/>
      <c r="D3" s="3218"/>
      <c r="E3" s="3218"/>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8" t="s">
        <v>209</v>
      </c>
      <c r="B9" s="3218"/>
      <c r="C9" s="3218"/>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D26" sqref="D26"/>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42969</v>
      </c>
      <c r="C2" s="2080"/>
      <c r="D2" s="3219"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2918</v>
      </c>
      <c r="C3" s="2080"/>
      <c r="D3" s="3220"/>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20"/>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80.09</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66865</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65.459999999999994</v>
      </c>
      <c r="C13" s="2089"/>
      <c r="D13" s="176" t="s">
        <v>627</v>
      </c>
      <c r="E13" s="222"/>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0.98699999999999999</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200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0.04</v>
      </c>
      <c r="C16" s="2080"/>
      <c r="D16" s="29" t="s">
        <v>630</v>
      </c>
      <c r="E16" s="999">
        <v>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2500</v>
      </c>
      <c r="F17" s="2155">
        <v>2220</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200225</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0.97</v>
      </c>
      <c r="F20" s="2155"/>
      <c r="G20" s="2080"/>
      <c r="H20" s="3221" t="s">
        <v>2920</v>
      </c>
      <c r="I20" s="3222"/>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1.5</v>
      </c>
      <c r="C21" s="2080"/>
      <c r="D21" s="27" t="s">
        <v>631</v>
      </c>
      <c r="E21" s="1000">
        <v>0.03</v>
      </c>
      <c r="F21" s="3047" t="s">
        <v>2872</v>
      </c>
      <c r="G21" s="2080"/>
      <c r="H21" s="3111" t="s">
        <v>2921</v>
      </c>
      <c r="I21" s="3112">
        <v>0</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1.5</v>
      </c>
      <c r="C22" s="2080"/>
      <c r="D22" s="27" t="s">
        <v>632</v>
      </c>
      <c r="E22" s="223">
        <v>0.05</v>
      </c>
      <c r="F22" s="3047" t="s">
        <v>2873</v>
      </c>
      <c r="G22" s="2080"/>
      <c r="H22" s="3111" t="s">
        <v>2922</v>
      </c>
      <c r="I22" s="3114" t="s">
        <v>3000</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1.5</v>
      </c>
      <c r="C23" s="2080"/>
      <c r="D23" s="27" t="s">
        <v>633</v>
      </c>
      <c r="E23" s="220">
        <v>200</v>
      </c>
      <c r="F23" s="3047" t="s">
        <v>2874</v>
      </c>
      <c r="G23" s="2080"/>
      <c r="H23" s="3111" t="s">
        <v>2923</v>
      </c>
      <c r="I23" s="3114" t="s">
        <v>2924</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1.5</v>
      </c>
      <c r="C24" s="2080"/>
      <c r="D24" s="29" t="s">
        <v>634</v>
      </c>
      <c r="E24" s="3002">
        <v>1.4999999999999999E-2</v>
      </c>
      <c r="F24" s="3047" t="s">
        <v>2875</v>
      </c>
      <c r="G24" s="2080"/>
      <c r="H24" s="3111" t="s">
        <v>2925</v>
      </c>
      <c r="I24" s="3116">
        <f>ROUND(1-(1-I21)*I22/I23,2)</f>
        <v>0.96</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0.01</v>
      </c>
      <c r="F25" s="3047" t="s">
        <v>2876</v>
      </c>
      <c r="H25" s="3117" t="s">
        <v>2926</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2015</v>
      </c>
      <c r="C26" s="2080"/>
      <c r="D26" s="27" t="s">
        <v>636</v>
      </c>
      <c r="E26" s="223">
        <v>0.01</v>
      </c>
      <c r="F26" s="3047" t="s">
        <v>2876</v>
      </c>
      <c r="G26" s="2082"/>
      <c r="H26" s="3223" t="s">
        <v>2927</v>
      </c>
      <c r="I26" s="3223"/>
      <c r="J26" s="3223"/>
      <c r="K26" s="3223"/>
      <c r="L26" s="3223"/>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4.7500000000000001E-2</v>
      </c>
      <c r="F27" s="3047" t="s">
        <v>2877</v>
      </c>
      <c r="G27" s="2082"/>
      <c r="H27" s="3119" t="s">
        <v>2928</v>
      </c>
      <c r="I27" s="3120" t="s">
        <v>2929</v>
      </c>
      <c r="J27" s="3120" t="s">
        <v>2930</v>
      </c>
      <c r="K27" s="3120" t="s">
        <v>2931</v>
      </c>
      <c r="L27" s="3120" t="s">
        <v>17</v>
      </c>
      <c r="N27" s="2080"/>
      <c r="AE27" s="2076"/>
      <c r="AF27" s="2076"/>
      <c r="AG27" s="2076"/>
      <c r="AH27" s="2076"/>
      <c r="AI27" s="2076"/>
      <c r="AJ27" s="2076"/>
      <c r="AK27" s="2076"/>
      <c r="AL27" s="2076"/>
      <c r="AM27" s="2076"/>
      <c r="AN27" s="2076"/>
      <c r="AO27" s="2076"/>
    </row>
    <row r="28" spans="1:41" ht="14.25" thickBot="1">
      <c r="A28" s="9" t="s">
        <v>1881</v>
      </c>
      <c r="B28" s="3009" t="s">
        <v>2919</v>
      </c>
      <c r="C28" s="2076"/>
      <c r="D28" s="1650" t="s">
        <v>612</v>
      </c>
      <c r="E28" s="1651">
        <v>0.2</v>
      </c>
      <c r="F28" s="3048"/>
      <c r="G28" s="2082"/>
      <c r="H28" s="3119" t="s">
        <v>2932</v>
      </c>
      <c r="I28" s="3120">
        <v>100</v>
      </c>
      <c r="J28" s="3120" t="s">
        <v>2933</v>
      </c>
      <c r="K28" s="3120">
        <v>98</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3132">
        <v>2000</v>
      </c>
      <c r="C29" s="2076"/>
      <c r="D29" s="175" t="s">
        <v>638</v>
      </c>
      <c r="E29" s="1649">
        <f>E30+E31</f>
        <v>5.6000000000000001E-2</v>
      </c>
      <c r="F29" s="3044"/>
      <c r="G29" s="2082"/>
      <c r="H29" s="3119" t="s">
        <v>2934</v>
      </c>
      <c r="I29" s="3120">
        <v>100</v>
      </c>
      <c r="J29" s="3120" t="s">
        <v>2933</v>
      </c>
      <c r="K29" s="3120">
        <v>98</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2935</v>
      </c>
      <c r="I30" s="3120">
        <v>100</v>
      </c>
      <c r="J30" s="3120" t="s">
        <v>2933</v>
      </c>
      <c r="K30" s="3120">
        <v>98</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0.03</v>
      </c>
      <c r="C31" s="2076"/>
      <c r="D31" s="1028" t="s">
        <v>640</v>
      </c>
      <c r="E31" s="225">
        <f>E30*(E32+E33+E34)+E35</f>
        <v>6.000000000000001E-3</v>
      </c>
      <c r="F31" s="3044"/>
      <c r="G31" s="2082"/>
      <c r="H31" s="3122" t="s">
        <v>2936</v>
      </c>
      <c r="I31" s="3123">
        <f>1-I25</f>
        <v>0.5</v>
      </c>
      <c r="J31" s="3120" t="s">
        <v>2925</v>
      </c>
      <c r="K31" s="3124">
        <v>0.98</v>
      </c>
      <c r="L31" s="3125"/>
      <c r="N31" s="2080"/>
      <c r="AE31" s="2076"/>
      <c r="AF31" s="2076"/>
      <c r="AG31" s="2076"/>
      <c r="AH31" s="2076"/>
      <c r="AI31" s="2076"/>
      <c r="AJ31" s="2076"/>
      <c r="AK31" s="2076"/>
      <c r="AL31" s="2076"/>
      <c r="AM31" s="2076"/>
      <c r="AN31" s="2076"/>
      <c r="AO31" s="2076"/>
    </row>
    <row r="32" spans="1:41" ht="14.25">
      <c r="A32" s="1655" t="s">
        <v>614</v>
      </c>
      <c r="B32" s="213">
        <v>0.15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-2</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0.01</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1.5E-3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0.01</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9" sqref="G9"/>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4" t="s">
        <v>665</v>
      </c>
      <c r="B1" s="3225"/>
      <c r="C1" s="3225"/>
      <c r="D1" s="3225"/>
      <c r="E1" s="3225"/>
      <c r="F1" s="3225"/>
      <c r="G1" s="3225"/>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67.5">
      <c r="A3" s="879" t="s">
        <v>668</v>
      </c>
      <c r="B3" s="18" t="s">
        <v>37</v>
      </c>
      <c r="C3" s="3127" t="s">
        <v>3004</v>
      </c>
      <c r="D3" s="2106"/>
      <c r="E3" s="888" t="s">
        <v>668</v>
      </c>
      <c r="F3" s="1035" t="s">
        <v>94</v>
      </c>
      <c r="G3" s="3052" t="s">
        <v>2886</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67.5">
      <c r="A6" s="888"/>
      <c r="B6" s="2068" t="s">
        <v>67</v>
      </c>
      <c r="C6" s="3129" t="s">
        <v>3006</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3010</v>
      </c>
      <c r="D7" s="2107"/>
      <c r="E7" s="1037"/>
      <c r="F7" s="1038" t="s">
        <v>651</v>
      </c>
      <c r="G7" s="3053" t="s">
        <v>2885</v>
      </c>
      <c r="H7" s="2104"/>
      <c r="I7" s="2104"/>
      <c r="J7" s="2104"/>
      <c r="K7" s="2104"/>
      <c r="L7" s="2104"/>
      <c r="M7" s="2104"/>
      <c r="N7" s="2104"/>
      <c r="O7" s="2104"/>
      <c r="P7" s="2104"/>
      <c r="Q7" s="2104"/>
      <c r="R7" s="2104"/>
    </row>
    <row r="8" spans="1:29" ht="27">
      <c r="A8" s="888"/>
      <c r="B8" s="2546" t="s">
        <v>2537</v>
      </c>
      <c r="C8" s="3129" t="s">
        <v>3002</v>
      </c>
      <c r="D8" s="2107"/>
      <c r="E8" s="2107"/>
      <c r="F8" s="2108"/>
      <c r="G8" s="2108"/>
      <c r="H8" s="2104"/>
      <c r="I8" s="2104"/>
      <c r="J8" s="2104"/>
      <c r="K8" s="2104"/>
      <c r="L8" s="2104"/>
      <c r="M8" s="2104"/>
      <c r="N8" s="2104"/>
      <c r="O8" s="2104"/>
      <c r="P8" s="2104"/>
      <c r="Q8" s="2104"/>
      <c r="R8" s="2104"/>
    </row>
    <row r="9" spans="1:29" ht="67.5">
      <c r="A9" s="888"/>
      <c r="B9" s="2068" t="s">
        <v>68</v>
      </c>
      <c r="C9" s="3128" t="s">
        <v>3009</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3001</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67.5">
      <c r="A15" s="17" t="s">
        <v>656</v>
      </c>
      <c r="B15" s="6" t="s">
        <v>37</v>
      </c>
      <c r="C15" s="1044" t="str">
        <f>C3</f>
        <v>估价对象周边有天佑爱上岛、燕达首尔国际村、壹克拉公寓等住宅小区，综合评价居住社区成熟度一般</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67.5">
      <c r="A18" s="2557"/>
      <c r="B18" s="2067" t="s">
        <v>67</v>
      </c>
      <c r="C18" s="883" t="str">
        <f>C6</f>
        <v>以估价对象为中心半径2公里范围内最高级别道路为城市次干道——燕灵路，有快速直达专线61路，综合评价交通便捷度一般</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67.5">
      <c r="A20" s="2557"/>
      <c r="B20" s="2067" t="s">
        <v>85</v>
      </c>
      <c r="C20" s="1046" t="str">
        <f>C9</f>
        <v>区域自然环境：燕郊滨河森林公园东区、燕郊植物园等；人文环境：燕京理工学院；综合评价环境状况较好</v>
      </c>
      <c r="D20" s="2107"/>
      <c r="E20" s="2555"/>
      <c r="F20" s="2546" t="s">
        <v>2537</v>
      </c>
      <c r="G20" s="883" t="str">
        <f>G6</f>
        <v>估价对象所在区域基础设施水平</v>
      </c>
    </row>
    <row r="21" spans="1:18" ht="27">
      <c r="A21" s="2557"/>
      <c r="B21" s="2546" t="s">
        <v>2536</v>
      </c>
      <c r="C21" s="883" t="str">
        <f>C7</f>
        <v>估价对象所在区域公共配套设施成熟度一般</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14.25" thickBot="1">
      <c r="A24" s="2558"/>
      <c r="B24" s="2071" t="s">
        <v>83</v>
      </c>
      <c r="C24" s="1047" t="str">
        <f>C10</f>
        <v>城市次干道——燕灵路</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27" zoomScaleNormal="100" zoomScaleSheetLayoutView="100" zoomScalePageLayoutView="80" workbookViewId="0">
      <selection activeCell="E135" sqref="E135"/>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05" t="str">
        <f>项目基本情况!B1</f>
        <v>北京市房地产市场价值预评估</v>
      </c>
      <c r="B2" s="3305"/>
      <c r="C2" s="3305"/>
      <c r="D2" s="3305"/>
      <c r="E2" s="3305"/>
      <c r="F2" s="3305"/>
      <c r="G2" s="3305"/>
      <c r="H2" s="3305"/>
      <c r="I2" s="3305"/>
    </row>
    <row r="3" spans="1:12" ht="12">
      <c r="A3" s="3313" t="s">
        <v>8</v>
      </c>
      <c r="B3" s="3314"/>
      <c r="C3" s="3314"/>
      <c r="D3" s="3314"/>
      <c r="E3" s="3314"/>
      <c r="F3" s="3314"/>
      <c r="G3" s="3314"/>
      <c r="H3" s="3314"/>
      <c r="I3" s="3314"/>
    </row>
    <row r="4" spans="1:12" ht="13.5">
      <c r="A4" s="237" t="s">
        <v>9</v>
      </c>
      <c r="B4" s="1810" t="s">
        <v>10</v>
      </c>
      <c r="C4" s="238" t="s">
        <v>2978</v>
      </c>
      <c r="D4" s="238" t="s">
        <v>2939</v>
      </c>
      <c r="E4" s="3318" t="s">
        <v>674</v>
      </c>
      <c r="F4" s="3319"/>
      <c r="G4" s="3319"/>
      <c r="H4" s="3319"/>
      <c r="I4" s="3320"/>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306" t="s">
        <v>11</v>
      </c>
      <c r="B5" s="3307">
        <v>25</v>
      </c>
      <c r="C5" s="3315">
        <v>80</v>
      </c>
      <c r="D5" s="3312">
        <v>20</v>
      </c>
      <c r="E5" s="272" t="s">
        <v>717</v>
      </c>
      <c r="F5" s="239"/>
      <c r="G5" s="239"/>
      <c r="H5" s="239"/>
      <c r="I5" s="240"/>
    </row>
    <row r="6" spans="1:12" ht="12.75">
      <c r="A6" s="3306"/>
      <c r="B6" s="3307"/>
      <c r="C6" s="3316"/>
      <c r="D6" s="3312"/>
      <c r="E6" s="272" t="s">
        <v>718</v>
      </c>
      <c r="F6" s="239"/>
      <c r="G6" s="239"/>
      <c r="H6" s="239"/>
      <c r="I6" s="240"/>
    </row>
    <row r="7" spans="1:12" ht="12.75">
      <c r="A7" s="3306"/>
      <c r="B7" s="3307"/>
      <c r="C7" s="3317"/>
      <c r="D7" s="3312"/>
      <c r="E7" s="272" t="s">
        <v>719</v>
      </c>
      <c r="F7" s="239"/>
      <c r="G7" s="239"/>
      <c r="H7" s="239"/>
      <c r="I7" s="240"/>
    </row>
    <row r="8" spans="1:12" ht="12.75">
      <c r="A8" s="3306" t="s">
        <v>12</v>
      </c>
      <c r="B8" s="3307">
        <v>15</v>
      </c>
      <c r="C8" s="3315"/>
      <c r="D8" s="3312"/>
      <c r="E8" s="272" t="s">
        <v>720</v>
      </c>
      <c r="F8" s="239"/>
      <c r="G8" s="239"/>
      <c r="H8" s="239"/>
      <c r="I8" s="240"/>
    </row>
    <row r="9" spans="1:12" ht="12.75">
      <c r="A9" s="3306"/>
      <c r="B9" s="3307"/>
      <c r="C9" s="3317"/>
      <c r="D9" s="3312"/>
      <c r="E9" s="272" t="s">
        <v>721</v>
      </c>
      <c r="F9" s="239"/>
      <c r="G9" s="239"/>
      <c r="H9" s="239"/>
      <c r="I9" s="240"/>
    </row>
    <row r="10" spans="1:12" ht="12.75">
      <c r="A10" s="3306" t="s">
        <v>13</v>
      </c>
      <c r="B10" s="3307">
        <v>15</v>
      </c>
      <c r="C10" s="3315"/>
      <c r="D10" s="3312"/>
      <c r="E10" s="272" t="s">
        <v>722</v>
      </c>
      <c r="F10" s="239"/>
      <c r="G10" s="239"/>
      <c r="H10" s="239"/>
      <c r="I10" s="240"/>
    </row>
    <row r="11" spans="1:12" ht="12.75">
      <c r="A11" s="3306"/>
      <c r="B11" s="3307"/>
      <c r="C11" s="3317"/>
      <c r="D11" s="3312"/>
      <c r="E11" s="272" t="s">
        <v>723</v>
      </c>
      <c r="F11" s="239"/>
      <c r="G11" s="239"/>
      <c r="H11" s="239"/>
      <c r="I11" s="240"/>
    </row>
    <row r="12" spans="1:12" ht="12.75">
      <c r="A12" s="3306" t="s">
        <v>14</v>
      </c>
      <c r="B12" s="3307">
        <v>15</v>
      </c>
      <c r="C12" s="3315"/>
      <c r="D12" s="3312"/>
      <c r="E12" s="272" t="s">
        <v>724</v>
      </c>
      <c r="F12" s="239"/>
      <c r="G12" s="239"/>
      <c r="H12" s="239"/>
      <c r="I12" s="240"/>
    </row>
    <row r="13" spans="1:12" ht="12.75">
      <c r="A13" s="3306"/>
      <c r="B13" s="3307"/>
      <c r="C13" s="3317"/>
      <c r="D13" s="3312"/>
      <c r="E13" s="272" t="s">
        <v>725</v>
      </c>
      <c r="F13" s="239"/>
      <c r="G13" s="239"/>
      <c r="H13" s="239"/>
      <c r="I13" s="240"/>
    </row>
    <row r="14" spans="1:12" ht="10.5" customHeight="1">
      <c r="A14" s="3306" t="s">
        <v>15</v>
      </c>
      <c r="B14" s="3307">
        <v>30</v>
      </c>
      <c r="C14" s="3315"/>
      <c r="D14" s="3312"/>
      <c r="E14" s="272" t="s">
        <v>726</v>
      </c>
      <c r="F14" s="239"/>
      <c r="G14" s="239"/>
      <c r="H14" s="239"/>
      <c r="I14" s="240"/>
    </row>
    <row r="15" spans="1:12" ht="9.75" customHeight="1">
      <c r="A15" s="3306"/>
      <c r="B15" s="3307"/>
      <c r="C15" s="3316"/>
      <c r="D15" s="3312"/>
      <c r="E15" s="272" t="s">
        <v>727</v>
      </c>
      <c r="F15" s="239"/>
      <c r="G15" s="239"/>
      <c r="H15" s="239"/>
      <c r="I15" s="240"/>
    </row>
    <row r="16" spans="1:12" ht="6.75" customHeight="1">
      <c r="A16" s="3306"/>
      <c r="B16" s="3307"/>
      <c r="C16" s="3317"/>
      <c r="D16" s="3312"/>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2156583</v>
      </c>
      <c r="D19" s="276">
        <f ca="1">SUMIF(INDIRECT("'"&amp;D4&amp;"'"&amp;"!A:A"),结果表!B19,INDIRECT("'"&amp;D4&amp;"'"&amp;"!B:B"))</f>
        <v>731440</v>
      </c>
      <c r="E19" s="243" t="s">
        <v>186</v>
      </c>
      <c r="F19" s="244" t="s">
        <v>18</v>
      </c>
      <c r="G19" s="277">
        <f ca="1">ROUND(C19*$C$18+D19*$D$18,0)</f>
        <v>1871554</v>
      </c>
      <c r="H19" s="2019" t="str">
        <f>'数据-取费表'!B3</f>
        <v>元</v>
      </c>
      <c r="I19" s="1059"/>
    </row>
    <row r="20" spans="1:35" ht="14.25">
      <c r="A20" s="245"/>
      <c r="B20" s="246" t="s">
        <v>19</v>
      </c>
      <c r="C20" s="278">
        <f ca="1">SUMIF(INDIRECT("'"&amp;C4&amp;"'"&amp;"!A:A"),结果表!B20,INDIRECT("'"&amp;C4&amp;"'"&amp;"!B:B"))</f>
        <v>26927</v>
      </c>
      <c r="D20" s="279">
        <f ca="1">SUMIF(INDIRECT("'"&amp;D4&amp;"'"&amp;"!A:A"),结果表!B20,INDIRECT("'"&amp;D4&amp;"'"&amp;"!B:B"))</f>
        <v>9133</v>
      </c>
      <c r="E20" s="245"/>
      <c r="F20" s="246" t="s">
        <v>19</v>
      </c>
      <c r="G20" s="280">
        <f ca="1">ROUND(C20*$C$18+D20*$D$18,0)</f>
        <v>23368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1.9484072514491961</v>
      </c>
      <c r="E22" s="1059"/>
      <c r="F22" s="1059"/>
      <c r="G22" s="1059"/>
      <c r="H22" s="1059"/>
      <c r="I22" s="1059"/>
    </row>
    <row r="23" spans="1:35" ht="12.75" thickBot="1">
      <c r="A23" s="1059"/>
      <c r="B23" s="1059"/>
      <c r="C23" s="1059"/>
      <c r="D23" s="1059"/>
      <c r="E23" s="1059"/>
      <c r="F23" s="1059"/>
      <c r="G23" s="1059"/>
      <c r="H23" s="1059"/>
      <c r="I23" s="1059"/>
    </row>
    <row r="24" spans="1:35" ht="21.75" customHeight="1">
      <c r="A24" s="3321" t="s">
        <v>184</v>
      </c>
      <c r="B24" s="244" t="s">
        <v>18</v>
      </c>
      <c r="C24" s="277">
        <f>D30</f>
        <v>0</v>
      </c>
      <c r="D24" s="251"/>
      <c r="E24" s="1059"/>
      <c r="F24" s="1059"/>
      <c r="G24" s="1059"/>
      <c r="H24" s="1059"/>
      <c r="I24" s="1059"/>
    </row>
    <row r="25" spans="1:35" ht="21.75" customHeight="1">
      <c r="A25" s="3322"/>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2983</v>
      </c>
      <c r="B27" s="283"/>
      <c r="C27" s="283"/>
      <c r="D27" s="284"/>
      <c r="E27" s="1059"/>
      <c r="F27" s="1059"/>
      <c r="G27" s="1059"/>
      <c r="H27" s="1059"/>
      <c r="I27" s="1059"/>
    </row>
    <row r="28" spans="1:35" ht="14.25">
      <c r="A28" s="253"/>
      <c r="B28" s="283"/>
      <c r="C28" s="283"/>
      <c r="D28" s="284"/>
      <c r="E28" s="1059"/>
      <c r="F28" s="1059"/>
      <c r="G28" s="1059"/>
      <c r="H28" s="1059"/>
      <c r="I28" s="1059"/>
    </row>
    <row r="29" spans="1:35" ht="14.25">
      <c r="A29" s="253"/>
      <c r="B29" s="283"/>
      <c r="C29" s="283"/>
      <c r="D29" s="284"/>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6" t="s">
        <v>182</v>
      </c>
      <c r="B32" s="2021" t="str">
        <f>'数据-取费表'!B4</f>
        <v>楼面单价</v>
      </c>
      <c r="C32" s="1977">
        <f ca="1">IF(B32="总价",G19-C24,G20-C25)</f>
        <v>23368</v>
      </c>
      <c r="D32" s="1059" t="str">
        <f>IF(B32="楼面单价","元/平方米",H19)</f>
        <v>元/平方米</v>
      </c>
      <c r="E32" s="1059"/>
      <c r="F32" s="1059"/>
      <c r="G32" s="1059"/>
      <c r="H32" s="1059"/>
      <c r="I32" s="1059"/>
    </row>
    <row r="33" spans="1:16" ht="13.5" hidden="1">
      <c r="A33" s="1973" t="s">
        <v>675</v>
      </c>
      <c r="B33" s="1974"/>
      <c r="C33" s="1975"/>
      <c r="D33" s="1890" t="s">
        <v>2987</v>
      </c>
      <c r="E33" s="1888" t="s">
        <v>2009</v>
      </c>
      <c r="F33" s="1885" t="str">
        <f>IF(B32="楼面单价","取值（单价）","取值（总价）")</f>
        <v>取值（单价）</v>
      </c>
      <c r="G33" s="1059"/>
      <c r="H33" s="1059"/>
      <c r="I33" s="1059"/>
    </row>
    <row r="34" spans="1:16" ht="15" hidden="1">
      <c r="A34" s="259"/>
      <c r="B34" s="260" t="s">
        <v>678</v>
      </c>
      <c r="C34" s="289">
        <f>IF(D33="自定义",F34,C32-C35)</f>
        <v>0</v>
      </c>
      <c r="D34" s="1889">
        <f ca="1">IF(D33="自定义",ROUND(C34/C32,3),1-D35)</f>
        <v>0</v>
      </c>
      <c r="E34" s="1886" t="s">
        <v>2010</v>
      </c>
      <c r="F34" s="3015"/>
      <c r="G34" s="1059"/>
      <c r="H34" s="1059"/>
      <c r="I34" s="1059"/>
    </row>
    <row r="35" spans="1:16" ht="15.75" hidden="1" thickBot="1">
      <c r="A35" s="262"/>
      <c r="B35" s="263" t="s">
        <v>680</v>
      </c>
      <c r="C35" s="290">
        <f>IF(D33="自定义",F35,ROUND(C32*D35,0))</f>
        <v>0</v>
      </c>
      <c r="D35" s="1884">
        <f ca="1">IF(D33="自定义",ROUND(C35/C32,3),IF(D33="成本法成本比率",成本法!C56,IF(D33="收益法收益比率",收益法!J38,收益法!J41)))</f>
        <v>0</v>
      </c>
      <c r="E35" s="1887" t="s">
        <v>2011</v>
      </c>
      <c r="F35" s="296"/>
      <c r="G35" s="1059"/>
      <c r="H35" s="1059"/>
      <c r="I35" s="1059"/>
    </row>
    <row r="36" spans="1:16" ht="15.75" hidden="1" thickBot="1">
      <c r="A36" s="3328" t="s">
        <v>676</v>
      </c>
      <c r="B36" s="258" t="s">
        <v>677</v>
      </c>
      <c r="C36" s="286">
        <v>0</v>
      </c>
      <c r="D36" s="1891" t="s">
        <v>2988</v>
      </c>
      <c r="E36" s="1795"/>
      <c r="F36" s="1795"/>
      <c r="G36" s="1059"/>
      <c r="H36" s="1059"/>
      <c r="I36" s="1059"/>
    </row>
    <row r="37" spans="1:16" ht="15.75" hidden="1" thickBot="1">
      <c r="A37" s="3329"/>
      <c r="B37" s="5" t="s">
        <v>679</v>
      </c>
      <c r="C37" s="288">
        <v>0</v>
      </c>
      <c r="D37" s="8"/>
      <c r="E37" s="8"/>
      <c r="F37" s="1795"/>
      <c r="G37" s="8"/>
      <c r="H37" s="8"/>
      <c r="I37" s="8"/>
    </row>
    <row r="38" spans="1:16" ht="15.75" hidden="1" thickBot="1">
      <c r="A38" s="3330"/>
      <c r="B38" s="261" t="s">
        <v>681</v>
      </c>
      <c r="C38" s="1001">
        <v>0</v>
      </c>
      <c r="D38" s="1062" t="s">
        <v>682</v>
      </c>
      <c r="E38" s="8"/>
      <c r="F38" s="1795"/>
      <c r="G38" s="8"/>
      <c r="H38" s="8"/>
      <c r="I38" s="8"/>
    </row>
    <row r="39" spans="1:16" ht="13.5" hidden="1">
      <c r="A39" s="245" t="s">
        <v>683</v>
      </c>
      <c r="B39" s="264" t="s">
        <v>684</v>
      </c>
      <c r="C39" s="265" t="s">
        <v>685</v>
      </c>
      <c r="D39" s="265" t="s">
        <v>686</v>
      </c>
      <c r="E39" s="266" t="s">
        <v>687</v>
      </c>
      <c r="F39" s="1795"/>
      <c r="G39" s="8"/>
      <c r="H39" s="8"/>
      <c r="I39" s="8"/>
    </row>
    <row r="40" spans="1:16" ht="13.5" hidden="1">
      <c r="A40" s="1063" t="s">
        <v>688</v>
      </c>
      <c r="B40" s="291"/>
      <c r="C40" s="292"/>
      <c r="D40" s="292"/>
      <c r="E40" s="293"/>
      <c r="F40" s="1795"/>
      <c r="G40" s="8"/>
      <c r="H40" s="8"/>
      <c r="I40" s="8"/>
    </row>
    <row r="41" spans="1:16" ht="13.5" hidden="1">
      <c r="A41" s="1063" t="s">
        <v>689</v>
      </c>
      <c r="B41" s="291"/>
      <c r="C41" s="292"/>
      <c r="D41" s="292"/>
      <c r="E41" s="293"/>
      <c r="F41" s="1795"/>
      <c r="G41" s="8"/>
      <c r="H41" s="8"/>
      <c r="I41" s="8"/>
    </row>
    <row r="42" spans="1:16" ht="14.25" hidden="1" thickBot="1">
      <c r="A42" s="1064"/>
      <c r="B42" s="294"/>
      <c r="C42" s="295"/>
      <c r="D42" s="295"/>
      <c r="E42" s="296"/>
      <c r="F42" s="1795"/>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334" t="s">
        <v>709</v>
      </c>
      <c r="B45" s="3335"/>
      <c r="C45" s="3336"/>
      <c r="D45" s="297">
        <f ca="1">ROUND(I102*F45,0)</f>
        <v>1871543</v>
      </c>
      <c r="E45" s="298" t="s">
        <v>710</v>
      </c>
      <c r="F45" s="299">
        <v>1</v>
      </c>
      <c r="G45" s="300" t="s">
        <v>711</v>
      </c>
      <c r="H45" s="1059"/>
      <c r="I45" s="1059"/>
      <c r="J45" s="3238" t="s">
        <v>216</v>
      </c>
      <c r="K45" s="3238"/>
      <c r="L45" s="3238"/>
      <c r="M45" s="3238"/>
      <c r="N45" s="3238"/>
      <c r="O45" s="3238"/>
      <c r="P45" s="1226"/>
    </row>
    <row r="46" spans="1:16" ht="14.25" hidden="1" customHeight="1">
      <c r="A46" s="3323" t="s">
        <v>300</v>
      </c>
      <c r="B46" s="3324"/>
      <c r="C46" s="3324"/>
      <c r="D46" s="3324"/>
      <c r="E46" s="3324"/>
      <c r="F46" s="3324"/>
      <c r="G46" s="3325"/>
      <c r="H46" s="1071"/>
      <c r="I46" s="1025"/>
      <c r="J46" s="3032">
        <v>1</v>
      </c>
      <c r="K46" s="3238" t="s">
        <v>217</v>
      </c>
      <c r="L46" s="3238"/>
      <c r="M46" s="3239" t="str">
        <f>项目基本情况!B1</f>
        <v>北京市房地产市场价值预评估</v>
      </c>
      <c r="N46" s="3239"/>
      <c r="O46" s="3239"/>
      <c r="P46" s="1226"/>
    </row>
    <row r="47" spans="1:16" ht="12" hidden="1" customHeight="1">
      <c r="A47" s="302" t="s">
        <v>301</v>
      </c>
      <c r="B47" s="303"/>
      <c r="C47" s="304"/>
      <c r="D47" s="305" t="s">
        <v>302</v>
      </c>
      <c r="E47" s="197" t="s">
        <v>303</v>
      </c>
      <c r="F47" s="306" t="s">
        <v>712</v>
      </c>
      <c r="G47" s="307" t="s">
        <v>713</v>
      </c>
      <c r="H47" s="1071"/>
      <c r="I47" s="1025"/>
      <c r="J47" s="3032">
        <v>2</v>
      </c>
      <c r="K47" s="3238" t="s">
        <v>218</v>
      </c>
      <c r="L47" s="3238"/>
      <c r="M47" s="3240">
        <f>'数据-取费表'!B2</f>
        <v>42969</v>
      </c>
      <c r="N47" s="3240"/>
      <c r="O47" s="3240"/>
      <c r="P47" s="1226"/>
    </row>
    <row r="48" spans="1:16" ht="25.5" hidden="1">
      <c r="A48" s="3331" t="s">
        <v>304</v>
      </c>
      <c r="B48" s="3332"/>
      <c r="C48" s="3332"/>
      <c r="D48" s="272">
        <f ca="1">IF(H48="情况1",0,IF(H48="情况2",D52,IF(H48="情况3",D53,IF(H48="情况4",D54))))</f>
        <v>99816</v>
      </c>
      <c r="E48" s="1807" t="str">
        <f>IF(H48="情况4","(销售额-原购置价)×税（费）率","销售额×税（费）率")</f>
        <v>销售额×税（费）率</v>
      </c>
      <c r="F48" s="308">
        <f>IF(H48="情况1","免征",'数据-取费表'!E29)</f>
        <v>5.6000000000000001E-2</v>
      </c>
      <c r="G48" s="267" t="s">
        <v>691</v>
      </c>
      <c r="H48" s="1220" t="s">
        <v>1044</v>
      </c>
      <c r="I48" s="1071"/>
      <c r="J48" s="3032">
        <v>3</v>
      </c>
      <c r="K48" s="3238" t="s">
        <v>692</v>
      </c>
      <c r="L48" s="3238"/>
      <c r="M48" s="3241">
        <f ca="1">I102</f>
        <v>1871543</v>
      </c>
      <c r="N48" s="3241"/>
      <c r="O48" s="3241"/>
      <c r="P48" s="1226"/>
    </row>
    <row r="49" spans="1:16" ht="25.5" hidden="1" customHeight="1">
      <c r="A49" s="309" t="s">
        <v>714</v>
      </c>
      <c r="B49" s="3309" t="s">
        <v>715</v>
      </c>
      <c r="C49" s="3309"/>
      <c r="D49" s="310">
        <v>0</v>
      </c>
      <c r="E49" s="196" t="s">
        <v>716</v>
      </c>
      <c r="F49" s="201" t="s">
        <v>178</v>
      </c>
      <c r="G49" s="3229"/>
      <c r="H49" s="1059"/>
      <c r="I49" s="1072"/>
      <c r="J49" s="3032">
        <v>4</v>
      </c>
      <c r="K49" s="3238" t="str">
        <f>IF(项目基本情况!F5="房地产抵押价值","房地产抵押价值","抵押担保权已注销时的房地产抵押价值")</f>
        <v>抵押担保权已注销时的房地产抵押价值</v>
      </c>
      <c r="L49" s="3238"/>
      <c r="M49" s="3241" t="str">
        <f>IF(项目基本情况!E8="房地产抵押价值",I110,I112)</f>
        <v>——</v>
      </c>
      <c r="N49" s="3241"/>
      <c r="O49" s="3241"/>
      <c r="P49" s="1226"/>
    </row>
    <row r="50" spans="1:16" ht="25.5" hidden="1" customHeight="1">
      <c r="A50" s="311"/>
      <c r="B50" s="3309" t="s">
        <v>307</v>
      </c>
      <c r="C50" s="3309"/>
      <c r="D50" s="312"/>
      <c r="E50" s="204"/>
      <c r="F50" s="313"/>
      <c r="G50" s="3230"/>
      <c r="H50" s="1059"/>
      <c r="I50" s="1072"/>
      <c r="J50" s="3238" t="s">
        <v>219</v>
      </c>
      <c r="K50" s="3238"/>
      <c r="L50" s="3238"/>
      <c r="M50" s="3238"/>
      <c r="N50" s="3238"/>
      <c r="O50" s="3238"/>
      <c r="P50" s="1226"/>
    </row>
    <row r="51" spans="1:16" ht="12" hidden="1" customHeight="1">
      <c r="A51" s="314"/>
      <c r="B51" s="3309" t="s">
        <v>308</v>
      </c>
      <c r="C51" s="3309"/>
      <c r="D51" s="315"/>
      <c r="E51" s="203"/>
      <c r="F51" s="313"/>
      <c r="G51" s="3231"/>
      <c r="H51" s="1059"/>
      <c r="I51" s="1072"/>
      <c r="J51" s="3030" t="s">
        <v>220</v>
      </c>
      <c r="K51" s="3238" t="s">
        <v>221</v>
      </c>
      <c r="L51" s="3238"/>
      <c r="M51" s="3030" t="s">
        <v>222</v>
      </c>
      <c r="N51" s="3030" t="s">
        <v>223</v>
      </c>
      <c r="O51" s="3030" t="s">
        <v>224</v>
      </c>
      <c r="P51" s="1226"/>
    </row>
    <row r="52" spans="1:16" ht="24" hidden="1" customHeight="1">
      <c r="A52" s="316" t="s">
        <v>309</v>
      </c>
      <c r="B52" s="3309" t="s">
        <v>310</v>
      </c>
      <c r="C52" s="3309"/>
      <c r="D52" s="315">
        <f ca="1">ROUND(D45*'数据-取费表'!E29/(1+'数据-取费表'!F30),0)</f>
        <v>99816</v>
      </c>
      <c r="E52" s="193" t="s">
        <v>311</v>
      </c>
      <c r="F52" s="317">
        <f>'数据-取费表'!E29</f>
        <v>5.6000000000000001E-2</v>
      </c>
      <c r="G52" s="268"/>
      <c r="H52" s="1059"/>
      <c r="I52" s="1072"/>
      <c r="J52" s="3032">
        <v>1</v>
      </c>
      <c r="K52" s="3228" t="s">
        <v>693</v>
      </c>
      <c r="L52" s="3228"/>
      <c r="M52" s="1229">
        <f ca="1">D48</f>
        <v>99816</v>
      </c>
      <c r="N52" s="3031" t="str">
        <f>E48</f>
        <v>销售额×税（费）率</v>
      </c>
      <c r="O52" s="1230">
        <f>F48</f>
        <v>5.6000000000000001E-2</v>
      </c>
      <c r="P52" s="1226"/>
    </row>
    <row r="53" spans="1:16" ht="12" hidden="1" customHeight="1">
      <c r="A53" s="316" t="s">
        <v>312</v>
      </c>
      <c r="B53" s="3308" t="s">
        <v>313</v>
      </c>
      <c r="C53" s="3311"/>
      <c r="D53" s="315">
        <f ca="1">ROUND(D45*'数据-取费表'!E29/(1+'数据-取费表'!F30),0)</f>
        <v>99816</v>
      </c>
      <c r="E53" s="193" t="s">
        <v>311</v>
      </c>
      <c r="F53" s="317">
        <f>'数据-取费表'!E29</f>
        <v>5.6000000000000001E-2</v>
      </c>
      <c r="G53" s="268"/>
      <c r="H53" s="1059"/>
      <c r="I53" s="1072"/>
      <c r="J53" s="3032">
        <v>2</v>
      </c>
      <c r="K53" s="3228" t="s">
        <v>694</v>
      </c>
      <c r="L53" s="3228"/>
      <c r="M53" s="1229">
        <f t="shared" ref="M53:O54" ca="1" si="0">D55</f>
        <v>936</v>
      </c>
      <c r="N53" s="3031" t="str">
        <f t="shared" si="0"/>
        <v>销售额×税（费）率</v>
      </c>
      <c r="O53" s="1230">
        <f t="shared" si="0"/>
        <v>5.0000000000000001E-4</v>
      </c>
      <c r="P53" s="1226"/>
    </row>
    <row r="54" spans="1:16" ht="12" hidden="1" customHeight="1">
      <c r="A54" s="316" t="s">
        <v>314</v>
      </c>
      <c r="B54" s="3308" t="s">
        <v>315</v>
      </c>
      <c r="C54" s="3311"/>
      <c r="D54" s="315">
        <f ca="1">C68</f>
        <v>99816</v>
      </c>
      <c r="E54" s="203" t="s">
        <v>316</v>
      </c>
      <c r="F54" s="317">
        <f>'数据-取费表'!E29</f>
        <v>5.6000000000000001E-2</v>
      </c>
      <c r="G54" s="268"/>
      <c r="H54" s="1073"/>
      <c r="I54" s="1072"/>
      <c r="J54" s="3032">
        <v>3</v>
      </c>
      <c r="K54" s="3228" t="s">
        <v>695</v>
      </c>
      <c r="L54" s="3228"/>
      <c r="M54" s="1229">
        <f t="shared" ca="1" si="0"/>
        <v>1059293</v>
      </c>
      <c r="N54" s="3031" t="str">
        <f t="shared" si="0"/>
        <v>增值额×税（费）率</v>
      </c>
      <c r="O54" s="1231" t="str">
        <f t="shared" si="0"/>
        <v>——</v>
      </c>
      <c r="P54" s="1226"/>
    </row>
    <row r="55" spans="1:16" ht="24" hidden="1" customHeight="1">
      <c r="A55" s="3337" t="s">
        <v>317</v>
      </c>
      <c r="B55" s="3332"/>
      <c r="C55" s="3332"/>
      <c r="D55" s="318">
        <f ca="1">IF(H55="个人住宅",0,ROUND(D45*I55,0))</f>
        <v>936</v>
      </c>
      <c r="E55" s="193" t="s">
        <v>318</v>
      </c>
      <c r="F55" s="317">
        <f>IF(H55="正常",I55,"免征")</f>
        <v>5.0000000000000001E-4</v>
      </c>
      <c r="G55" s="268"/>
      <c r="H55" s="1220" t="s">
        <v>157</v>
      </c>
      <c r="I55" s="319">
        <f>'数据-取费表'!E37</f>
        <v>5.0000000000000001E-4</v>
      </c>
      <c r="J55" s="3032">
        <f>IF(H59="非个人房产","",4)</f>
        <v>4</v>
      </c>
      <c r="K55" s="3228" t="str">
        <f>IF(H59="非个人房产","——","个人所得税")</f>
        <v>个人所得税</v>
      </c>
      <c r="L55" s="3228"/>
      <c r="M55" s="1232">
        <f ca="1">D59</f>
        <v>18715</v>
      </c>
      <c r="N55" s="1233" t="str">
        <f>E59</f>
        <v>销售额×税（费）率</v>
      </c>
      <c r="O55" s="1234">
        <f>F59</f>
        <v>0.01</v>
      </c>
      <c r="P55" s="1226"/>
    </row>
    <row r="56" spans="1:16" ht="24.75" hidden="1">
      <c r="A56" s="3337" t="s">
        <v>319</v>
      </c>
      <c r="B56" s="3332"/>
      <c r="C56" s="3332"/>
      <c r="D56" s="318">
        <f ca="1">IF(H56="个人住宅",D57,D58)</f>
        <v>1059293</v>
      </c>
      <c r="E56" s="193" t="s">
        <v>320</v>
      </c>
      <c r="F56" s="317" t="str">
        <f>IF(H56="正常",F58,"免征")</f>
        <v>——</v>
      </c>
      <c r="G56" s="1074" t="s">
        <v>696</v>
      </c>
      <c r="H56" s="1219" t="s">
        <v>157</v>
      </c>
      <c r="I56" s="167"/>
      <c r="J56" s="3032" t="str">
        <f>IF(项目基本情况!I6="上海银行",IF(J55="",4,J55+1),"")</f>
        <v/>
      </c>
      <c r="K56" s="3247" t="str">
        <f>IF(项目基本情况!I6="上海银行","其他处置费用","")</f>
        <v/>
      </c>
      <c r="L56" s="3248"/>
      <c r="M56" s="1229" t="str">
        <f>IF(项目基本情况!I6="上海银行",M69,"")</f>
        <v/>
      </c>
      <c r="N56" s="3226" t="str">
        <f>IF(项目基本情况!I6="上海银行","包含处置中涉及的律师、诉讼、拍卖、评估等费用","")</f>
        <v/>
      </c>
      <c r="O56" s="3227"/>
      <c r="P56" s="1226"/>
    </row>
    <row r="57" spans="1:16" ht="12.75" hidden="1">
      <c r="A57" s="316" t="s">
        <v>305</v>
      </c>
      <c r="B57" s="3326" t="s">
        <v>321</v>
      </c>
      <c r="C57" s="3333"/>
      <c r="D57" s="320">
        <v>0</v>
      </c>
      <c r="E57" s="196" t="s">
        <v>306</v>
      </c>
      <c r="F57" s="287"/>
      <c r="G57" s="268"/>
      <c r="H57" s="167"/>
      <c r="I57" s="167"/>
      <c r="J57" s="3246">
        <f>IF(AND(J55="",J56=""),4,IF(项目基本情况!I6="上海银行",J56+1,J55+1))</f>
        <v>5</v>
      </c>
      <c r="K57" s="3228" t="s">
        <v>697</v>
      </c>
      <c r="L57" s="1235" t="s">
        <v>225</v>
      </c>
      <c r="M57" s="1236"/>
      <c r="N57" s="1237">
        <f ca="1">SUMIF(M52:M56,"&lt;9e307")</f>
        <v>1178760</v>
      </c>
      <c r="O57" s="1238"/>
      <c r="P57" s="3033" t="e">
        <f ca="1">N57/M49</f>
        <v>#VALUE!</v>
      </c>
    </row>
    <row r="58" spans="1:16" ht="24.75" hidden="1">
      <c r="A58" s="316" t="s">
        <v>309</v>
      </c>
      <c r="B58" s="3326" t="s">
        <v>322</v>
      </c>
      <c r="C58" s="3327"/>
      <c r="D58" s="318">
        <f ca="1">IF(H58="转让取得",C81,C97)</f>
        <v>1059293</v>
      </c>
      <c r="E58" s="193" t="s">
        <v>320</v>
      </c>
      <c r="F58" s="197" t="s">
        <v>178</v>
      </c>
      <c r="G58" s="268"/>
      <c r="H58" s="1219" t="s">
        <v>1043</v>
      </c>
      <c r="I58" s="167"/>
      <c r="J58" s="3246"/>
      <c r="K58" s="3228"/>
      <c r="L58" s="1235" t="s">
        <v>226</v>
      </c>
      <c r="M58" s="1239"/>
      <c r="N58" s="1240" t="str">
        <f ca="1">IF(H19="元",NUMBERSTRING(INT(N57),2)&amp;"元整",NUMBERSTRING(INT(N57*10000),2)&amp;"元整")</f>
        <v>壹佰壹拾柒万捌仟柒佰陆拾元整</v>
      </c>
      <c r="O58" s="1241"/>
      <c r="P58" s="1226"/>
    </row>
    <row r="59" spans="1:16" ht="26.25" hidden="1" thickBot="1">
      <c r="A59" s="3338" t="s">
        <v>323</v>
      </c>
      <c r="B59" s="3339"/>
      <c r="C59" s="3339"/>
      <c r="D59" s="321">
        <f ca="1">IF(H59="非个人房产","——",IF(H59="个人住宅",0,ROUND(D45*I59,0)))</f>
        <v>18715</v>
      </c>
      <c r="E59" s="322" t="str">
        <f>IF(H59="非个人房产","——","销售额×税（费）率")</f>
        <v>销售额×税（费）率</v>
      </c>
      <c r="F59" s="323">
        <f>IF(H59="非个人房产","——",IF(H59="个人住宅","免征",I59))</f>
        <v>0.01</v>
      </c>
      <c r="G59" s="1075" t="s">
        <v>175</v>
      </c>
      <c r="H59" s="1219" t="s">
        <v>2862</v>
      </c>
      <c r="I59" s="324">
        <v>0.01</v>
      </c>
      <c r="J59" s="3285">
        <f>J57+1</f>
        <v>6</v>
      </c>
      <c r="K59" s="3228" t="s">
        <v>179</v>
      </c>
      <c r="L59" s="3031" t="s">
        <v>225</v>
      </c>
      <c r="M59" s="1242"/>
      <c r="N59" s="1243" t="e">
        <f ca="1">M49-N57</f>
        <v>#VALUE!</v>
      </c>
      <c r="O59" s="1244"/>
      <c r="P59" s="1226"/>
    </row>
    <row r="60" spans="1:16" ht="12" hidden="1" customHeight="1">
      <c r="A60" s="1716"/>
      <c r="B60" s="1059"/>
      <c r="C60" s="1059"/>
      <c r="D60" s="1059"/>
      <c r="E60" s="167"/>
      <c r="F60" s="167"/>
      <c r="G60" s="167"/>
      <c r="H60" s="168"/>
      <c r="I60" s="1059"/>
      <c r="J60" s="3286"/>
      <c r="K60" s="3228"/>
      <c r="L60" s="1235" t="s">
        <v>226</v>
      </c>
      <c r="M60" s="1239"/>
      <c r="N60" s="1240" t="e">
        <f ca="1">IF(H19="元",NUMBERSTRING(INT(N59),2)&amp;"元整",NUMBERSTRING(INT(N59*10000),2)&amp;"元整")</f>
        <v>#VALUE!</v>
      </c>
      <c r="O60" s="1241"/>
      <c r="P60" s="1226"/>
    </row>
    <row r="61" spans="1:16" ht="13.5" hidden="1" thickBot="1">
      <c r="A61" s="3340" t="s">
        <v>324</v>
      </c>
      <c r="B61" s="3340"/>
      <c r="C61" s="3340"/>
      <c r="D61" s="3340"/>
      <c r="E61" s="3340"/>
      <c r="F61" s="167"/>
      <c r="G61" s="167"/>
      <c r="H61" s="168"/>
      <c r="I61" s="1059"/>
      <c r="J61" s="3032">
        <f>J59+1</f>
        <v>7</v>
      </c>
      <c r="K61" s="3228" t="s">
        <v>227</v>
      </c>
      <c r="L61" s="3228"/>
      <c r="M61" s="1245"/>
      <c r="N61" s="1246" t="e">
        <f ca="1">IF(H19="元",ROUND(N59/项目基本情况!C12,0),ROUND(N59*10000/项目基本情况!C12,0))</f>
        <v>#VALUE!</v>
      </c>
      <c r="O61" s="1247"/>
      <c r="P61" s="1226"/>
    </row>
    <row r="62" spans="1:16" ht="12.75" hidden="1">
      <c r="A62" s="3269" t="s">
        <v>325</v>
      </c>
      <c r="B62" s="3270"/>
      <c r="C62" s="1808"/>
      <c r="D62" s="1808"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1782422</v>
      </c>
      <c r="D63" s="329"/>
      <c r="E63" s="330"/>
      <c r="F63" s="167"/>
      <c r="G63" s="167"/>
      <c r="H63" s="168"/>
      <c r="I63" s="1059"/>
      <c r="J63" s="3249" t="s">
        <v>2853</v>
      </c>
      <c r="K63" s="3037" t="s">
        <v>2854</v>
      </c>
      <c r="L63" s="3038"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1871543</v>
      </c>
      <c r="D64" s="334" t="s">
        <v>169</v>
      </c>
      <c r="E64" s="335"/>
      <c r="F64" s="167"/>
      <c r="G64" s="167"/>
      <c r="H64" s="168"/>
      <c r="I64" s="1059"/>
      <c r="J64" s="3249"/>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1">ROUND(L64,1)</f>
        <v>#VALUE!</v>
      </c>
      <c r="N64" s="3039" t="s">
        <v>2856</v>
      </c>
      <c r="O64" s="1226"/>
      <c r="P64" s="1226"/>
    </row>
    <row r="65" spans="1:35" ht="12.75" hidden="1">
      <c r="A65" s="331" t="s">
        <v>229</v>
      </c>
      <c r="B65" s="332" t="s">
        <v>328</v>
      </c>
      <c r="C65" s="336"/>
      <c r="D65" s="334"/>
      <c r="E65" s="335"/>
      <c r="F65" s="167"/>
      <c r="G65" s="167"/>
      <c r="H65" s="168"/>
      <c r="I65" s="1059"/>
      <c r="J65" s="3249"/>
      <c r="K65" s="3037" t="s">
        <v>2857</v>
      </c>
      <c r="L65" s="3038" t="e">
        <f>IF(M49&gt;1000,M49*0.1%,IF(AND(M49&gt;500,M49&lt;=1000),M49*0.5%,IF(AND(M49&gt;50,M49&lt;=500),M49*1%,IF(AND(M49&gt;1,M49&lt;=50),M49*1.5%))))</f>
        <v>#VALUE!</v>
      </c>
      <c r="M65" s="197" t="e">
        <f t="shared" si="1"/>
        <v>#VALUE!</v>
      </c>
      <c r="N65" s="3039" t="s">
        <v>2856</v>
      </c>
      <c r="O65" s="1226"/>
      <c r="P65" s="1226"/>
    </row>
    <row r="66" spans="1:35" ht="12.75" hidden="1">
      <c r="A66" s="337" t="s">
        <v>177</v>
      </c>
      <c r="B66" s="338" t="s">
        <v>329</v>
      </c>
      <c r="C66" s="339"/>
      <c r="D66" s="340" t="s">
        <v>169</v>
      </c>
      <c r="E66" s="3062" t="s">
        <v>2897</v>
      </c>
      <c r="F66" s="167"/>
      <c r="G66" s="167"/>
      <c r="H66" s="168"/>
      <c r="I66" s="1059"/>
      <c r="J66" s="3249"/>
      <c r="K66" s="3037" t="s">
        <v>2858</v>
      </c>
      <c r="L66" s="3038" t="e">
        <f>M49*0.5%</f>
        <v>#VALUE!</v>
      </c>
      <c r="M66" s="197" t="e">
        <f>IF(L66&gt;0.5,0.5,ROUND(L66,0))</f>
        <v>#VALUE!</v>
      </c>
      <c r="N66" s="3039" t="s">
        <v>2859</v>
      </c>
      <c r="O66" s="1226"/>
      <c r="P66" s="1226"/>
    </row>
    <row r="67" spans="1:35" ht="12.75" hidden="1">
      <c r="A67" s="337" t="s">
        <v>170</v>
      </c>
      <c r="B67" s="338" t="s">
        <v>330</v>
      </c>
      <c r="C67" s="341">
        <f ca="1">C63-C66</f>
        <v>1782422</v>
      </c>
      <c r="D67" s="334" t="s">
        <v>169</v>
      </c>
      <c r="E67" s="335"/>
      <c r="F67" s="167"/>
      <c r="G67" s="167"/>
      <c r="H67" s="168"/>
      <c r="I67" s="1059"/>
      <c r="J67" s="3249"/>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99816</v>
      </c>
      <c r="D68" s="345">
        <f>'数据-取费表'!E29</f>
        <v>5.6000000000000001E-2</v>
      </c>
      <c r="E68" s="346"/>
      <c r="F68" s="167"/>
      <c r="G68" s="167"/>
      <c r="H68" s="168"/>
      <c r="I68" s="1059"/>
      <c r="J68" s="3249"/>
      <c r="K68" s="3037" t="s">
        <v>2861</v>
      </c>
      <c r="L68" s="3038"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7"/>
      <c r="F69" s="167"/>
      <c r="G69" s="167"/>
      <c r="H69" s="168"/>
      <c r="I69" s="1059"/>
      <c r="J69" s="3249"/>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271" t="s">
        <v>332</v>
      </c>
      <c r="B70" s="3272"/>
      <c r="C70" s="3272"/>
      <c r="D70" s="3272"/>
      <c r="E70" s="3272"/>
      <c r="F70" s="3272"/>
      <c r="G70" s="3272"/>
      <c r="H70" s="3272"/>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hidden="1">
      <c r="A71" s="3269" t="s">
        <v>325</v>
      </c>
      <c r="B71" s="3270"/>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hidden="1">
      <c r="A72" s="350">
        <v>1</v>
      </c>
      <c r="B72" s="338" t="s">
        <v>335</v>
      </c>
      <c r="C72" s="341">
        <f ca="1">ROUND(D45/(1+'数据-取费表'!F30),0)</f>
        <v>1782422</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hidden="1">
      <c r="A73" s="352">
        <v>2</v>
      </c>
      <c r="B73" s="306" t="s">
        <v>336</v>
      </c>
      <c r="C73" s="341">
        <f ca="1">C74+C78</f>
        <v>10695</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308" t="s">
        <v>341</v>
      </c>
      <c r="F76" s="3309"/>
      <c r="G76" s="3309"/>
      <c r="H76" s="3310"/>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10695</v>
      </c>
      <c r="D78" s="362">
        <f>'数据-取费表'!E31</f>
        <v>6.000000000000001E-3</v>
      </c>
      <c r="E78" s="3259" t="s">
        <v>2425</v>
      </c>
      <c r="F78" s="3236"/>
      <c r="G78" s="3236"/>
      <c r="H78" s="3258"/>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hidden="1">
      <c r="A79" s="363" t="s">
        <v>170</v>
      </c>
      <c r="B79" s="338" t="s">
        <v>344</v>
      </c>
      <c r="C79" s="341">
        <f ca="1">C72-C73</f>
        <v>1771727</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hidden="1">
      <c r="A80" s="363" t="s">
        <v>171</v>
      </c>
      <c r="B80" s="338" t="s">
        <v>345</v>
      </c>
      <c r="C80" s="364">
        <f ca="1">IF(C79&lt;=0,0,C79/C73)</f>
        <v>165.65937353903692</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1059293</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hidden="1" thickBot="1">
      <c r="A83" s="3271" t="s">
        <v>347</v>
      </c>
      <c r="B83" s="3272"/>
      <c r="C83" s="3272"/>
      <c r="D83" s="3272"/>
      <c r="E83" s="3272"/>
      <c r="F83" s="3272"/>
      <c r="G83" s="3272"/>
      <c r="H83" s="3272"/>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hidden="1">
      <c r="A84" s="3269" t="s">
        <v>325</v>
      </c>
      <c r="B84" s="3270"/>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hidden="1">
      <c r="A85" s="350">
        <v>1</v>
      </c>
      <c r="B85" s="338" t="s">
        <v>335</v>
      </c>
      <c r="C85" s="341">
        <f ca="1">ROUND(D45/(1+'数据-取费表'!F30),0)</f>
        <v>1782422</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10695</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hidden="1">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235" t="s">
        <v>708</v>
      </c>
      <c r="F91" s="3236"/>
      <c r="G91" s="3236"/>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235" t="s">
        <v>356</v>
      </c>
      <c r="F92" s="3236"/>
      <c r="G92" s="3236"/>
      <c r="H92" s="3258"/>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10695</v>
      </c>
      <c r="D93" s="362">
        <f>'数据-取费表'!E31</f>
        <v>6.000000000000001E-3</v>
      </c>
      <c r="E93" s="3259" t="s">
        <v>2425</v>
      </c>
      <c r="F93" s="3236"/>
      <c r="G93" s="3236"/>
      <c r="H93" s="3258"/>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235" t="s">
        <v>358</v>
      </c>
      <c r="F94" s="3236"/>
      <c r="G94" s="3236"/>
      <c r="H94" s="3258"/>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hidden="1">
      <c r="A95" s="363" t="s">
        <v>170</v>
      </c>
      <c r="B95" s="338" t="s">
        <v>344</v>
      </c>
      <c r="C95" s="341">
        <f ca="1">ROUND(C85-C86,0)</f>
        <v>1771727</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hidden="1">
      <c r="A96" s="363" t="s">
        <v>171</v>
      </c>
      <c r="B96" s="338" t="s">
        <v>345</v>
      </c>
      <c r="C96" s="364">
        <f ca="1">IF(C95&lt;=0,0,C95/C86)</f>
        <v>165.65937353903692</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1059293</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255" t="s">
        <v>241</v>
      </c>
      <c r="B99" s="3256"/>
      <c r="C99" s="3256"/>
      <c r="D99" s="3257"/>
      <c r="E99" s="1059"/>
      <c r="F99" s="3266" t="s">
        <v>2769</v>
      </c>
      <c r="G99" s="3267"/>
      <c r="H99" s="3267"/>
      <c r="I99" s="3268"/>
    </row>
    <row r="100" spans="1:35" ht="14.25" hidden="1">
      <c r="A100" s="3273" t="s">
        <v>212</v>
      </c>
      <c r="B100" s="3274"/>
      <c r="C100" s="1084" t="str">
        <f>C4</f>
        <v>比较法-住宅</v>
      </c>
      <c r="D100" s="1085" t="str">
        <f>D4</f>
        <v>收益法</v>
      </c>
      <c r="E100" s="1059"/>
      <c r="F100" s="3275" t="s">
        <v>1855</v>
      </c>
      <c r="G100" s="3277"/>
      <c r="H100" s="3275" t="s">
        <v>2008</v>
      </c>
      <c r="I100" s="3276"/>
    </row>
    <row r="101" spans="1:35" ht="15.75" hidden="1">
      <c r="A101" s="3295" t="s">
        <v>213</v>
      </c>
      <c r="B101" s="1679" t="str">
        <f>IF(H19="元","总价（元）","总价（万元）")</f>
        <v>总价（元）</v>
      </c>
      <c r="C101" s="1051">
        <f ca="1">C19</f>
        <v>2156583</v>
      </c>
      <c r="D101" s="1052">
        <f ca="1">D19</f>
        <v>731440</v>
      </c>
      <c r="E101" s="1059"/>
      <c r="F101" s="3275" t="str">
        <f>项目基本情况!I1</f>
        <v>北京市房地产</v>
      </c>
      <c r="G101" s="3277"/>
      <c r="H101" s="3344">
        <f>项目基本情况!C12</f>
        <v>80.09</v>
      </c>
      <c r="I101" s="3345"/>
    </row>
    <row r="102" spans="1:35" ht="15.75" hidden="1">
      <c r="A102" s="3295"/>
      <c r="B102" s="1679" t="s">
        <v>1856</v>
      </c>
      <c r="C102" s="1053">
        <f ca="1">C20</f>
        <v>26927</v>
      </c>
      <c r="D102" s="1054">
        <f ca="1">D20</f>
        <v>9133</v>
      </c>
      <c r="E102" s="1059"/>
      <c r="F102" s="3361" t="s">
        <v>1861</v>
      </c>
      <c r="G102" s="3362"/>
      <c r="H102" s="1881" t="str">
        <f>C106</f>
        <v>总价（元）</v>
      </c>
      <c r="I102" s="3068">
        <f ca="1">H121</f>
        <v>1871543</v>
      </c>
    </row>
    <row r="103" spans="1:35" ht="15" hidden="1">
      <c r="A103" s="3295" t="s">
        <v>214</v>
      </c>
      <c r="B103" s="1680" t="str">
        <f>B101</f>
        <v>总价（元）</v>
      </c>
      <c r="C103" s="1055">
        <f ca="1">H121</f>
        <v>1871543</v>
      </c>
      <c r="D103" s="1056"/>
      <c r="E103" s="1059"/>
      <c r="F103" s="3361"/>
      <c r="G103" s="3362"/>
      <c r="H103" s="1881" t="s">
        <v>1853</v>
      </c>
      <c r="I103" s="1767">
        <f ca="1">I121</f>
        <v>23368</v>
      </c>
    </row>
    <row r="104" spans="1:35" ht="15.75" hidden="1" thickBot="1">
      <c r="A104" s="3296"/>
      <c r="B104" s="1681" t="s">
        <v>1854</v>
      </c>
      <c r="C104" s="1057">
        <f ca="1">I121</f>
        <v>23368</v>
      </c>
      <c r="D104" s="1058"/>
      <c r="E104" s="1059"/>
      <c r="F104" s="3262"/>
      <c r="G104" s="3263"/>
      <c r="H104" s="3297"/>
      <c r="I104" s="3298"/>
    </row>
    <row r="105" spans="1:35" ht="15.75" hidden="1">
      <c r="A105" s="3255" t="s">
        <v>2768</v>
      </c>
      <c r="B105" s="3256"/>
      <c r="C105" s="3256"/>
      <c r="D105" s="3257"/>
      <c r="E105" s="1059"/>
      <c r="F105" s="3301" t="s">
        <v>1962</v>
      </c>
      <c r="G105" s="3302"/>
      <c r="H105" s="1882" t="str">
        <f>C108</f>
        <v>总额（元）</v>
      </c>
      <c r="I105" s="3068">
        <f>SUMIF(I106:I108,"&lt;9E307")</f>
        <v>0</v>
      </c>
    </row>
    <row r="106" spans="1:35" ht="15" hidden="1">
      <c r="A106" s="3303" t="s">
        <v>2427</v>
      </c>
      <c r="B106" s="3304"/>
      <c r="C106" s="1881" t="str">
        <f>B101</f>
        <v>总价（元）</v>
      </c>
      <c r="D106" s="1768">
        <f ca="1">H121</f>
        <v>1871543</v>
      </c>
      <c r="E106" s="1059"/>
      <c r="F106" s="3264" t="s">
        <v>1858</v>
      </c>
      <c r="G106" s="3265"/>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303"/>
      <c r="B107" s="3304"/>
      <c r="C107" s="1881" t="s">
        <v>1966</v>
      </c>
      <c r="D107" s="1769">
        <f ca="1">I121</f>
        <v>23368</v>
      </c>
      <c r="E107" s="1059"/>
      <c r="F107" s="3264" t="s">
        <v>1859</v>
      </c>
      <c r="G107" s="3265"/>
      <c r="H107" s="1882" t="str">
        <f>C110</f>
        <v>总额（元）</v>
      </c>
      <c r="I107" s="1767">
        <f>C37</f>
        <v>0</v>
      </c>
      <c r="K107" s="2127"/>
    </row>
    <row r="108" spans="1:35" ht="15" hidden="1">
      <c r="A108" s="3357" t="s">
        <v>1962</v>
      </c>
      <c r="B108" s="3358"/>
      <c r="C108" s="1882" t="str">
        <f>IF(H19="元","总额（元）","总额（万元）")</f>
        <v>总额（元）</v>
      </c>
      <c r="D108" s="1768">
        <f>IF(D36="正常操作",I106+I107+I108,I107+I108)</f>
        <v>0</v>
      </c>
      <c r="E108" s="1059"/>
      <c r="F108" s="3264" t="s">
        <v>1860</v>
      </c>
      <c r="G108" s="3265"/>
      <c r="H108" s="1882" t="str">
        <f>C111</f>
        <v>总额（元）</v>
      </c>
      <c r="I108" s="1767">
        <f>C38</f>
        <v>0</v>
      </c>
    </row>
    <row r="109" spans="1:35" ht="14.25" hidden="1">
      <c r="A109" s="3264" t="s">
        <v>1858</v>
      </c>
      <c r="B109" s="3265"/>
      <c r="C109" s="1882" t="str">
        <f>C108</f>
        <v>总额（元）</v>
      </c>
      <c r="D109" s="855">
        <f>IF(D36="同一抵押权人同一抵押物续贷",C36&amp;"（未扣减，详见特别提示）",C36)</f>
        <v>0</v>
      </c>
      <c r="E109" s="1059"/>
      <c r="F109" s="3262"/>
      <c r="G109" s="3263"/>
      <c r="H109" s="3299"/>
      <c r="I109" s="3300"/>
    </row>
    <row r="110" spans="1:35" ht="28.5" hidden="1" customHeight="1">
      <c r="A110" s="3264" t="s">
        <v>1859</v>
      </c>
      <c r="B110" s="3265"/>
      <c r="C110" s="1882" t="str">
        <f>C108</f>
        <v>总额（元）</v>
      </c>
      <c r="D110" s="855">
        <f>C37</f>
        <v>0</v>
      </c>
      <c r="E110" s="1059"/>
      <c r="F110" s="3242" t="str">
        <f>IF(项目基本情况!F5="已注销","——","3.房地产抵押价值")</f>
        <v>3.房地产抵押价值</v>
      </c>
      <c r="G110" s="3243"/>
      <c r="H110" s="3074" t="str">
        <f>C112</f>
        <v>总价（元）</v>
      </c>
      <c r="I110" s="3075">
        <f ca="1">IF(F110="——","——",I102-I105)</f>
        <v>1871543</v>
      </c>
    </row>
    <row r="111" spans="1:35" ht="14.25" hidden="1">
      <c r="A111" s="3264" t="s">
        <v>1860</v>
      </c>
      <c r="B111" s="3265"/>
      <c r="C111" s="1882" t="str">
        <f>C108</f>
        <v>总额（元）</v>
      </c>
      <c r="D111" s="855">
        <f>C38</f>
        <v>0</v>
      </c>
      <c r="E111" s="1059"/>
      <c r="F111" s="3244"/>
      <c r="G111" s="3245"/>
      <c r="H111" s="1881" t="s">
        <v>1853</v>
      </c>
      <c r="I111" s="3076">
        <f ca="1">D113</f>
        <v>23368</v>
      </c>
    </row>
    <row r="112" spans="1:35" ht="26.25" hidden="1" customHeight="1">
      <c r="A112" s="3303" t="str">
        <f>IF(项目基本情况!F5="已注销","——","3.房地产抵押价值")</f>
        <v>3.房地产抵押价值</v>
      </c>
      <c r="B112" s="3304"/>
      <c r="C112" s="1881" t="str">
        <f>B101</f>
        <v>总价（元）</v>
      </c>
      <c r="D112" s="1768">
        <f ca="1">IF(A112="——","——",D106-D108)</f>
        <v>1871543</v>
      </c>
      <c r="E112" s="1059"/>
      <c r="F112" s="3242" t="str">
        <f>IF(项目基本情况!F5="已注销及未注销","4.抵押担保权已注销时的房地产抵押价值",IF(项目基本情况!F5="已注销","3.抵押担保权已注销时的房地产抵押价值","——"))</f>
        <v>——</v>
      </c>
      <c r="G112" s="3243"/>
      <c r="H112" s="3074" t="str">
        <f>C114</f>
        <v>总价（元）</v>
      </c>
      <c r="I112" s="3075" t="str">
        <f>IF(F112="——","——",I102-I107-I108)</f>
        <v>——</v>
      </c>
    </row>
    <row r="113" spans="1:15" ht="14.25" hidden="1">
      <c r="A113" s="3303"/>
      <c r="B113" s="3304"/>
      <c r="C113" s="1881" t="s">
        <v>1853</v>
      </c>
      <c r="D113" s="1769">
        <f ca="1">ROUND(IF(D112=D106,D107,IF(H19="元",D112/项目基本情况!C12,D112*10000/项目基本情况!C12)),0)</f>
        <v>23368</v>
      </c>
      <c r="E113" s="1059"/>
      <c r="F113" s="3244"/>
      <c r="G113" s="3245"/>
      <c r="H113" s="1881" t="s">
        <v>1853</v>
      </c>
      <c r="I113" s="3077" t="str">
        <f>D115</f>
        <v>——</v>
      </c>
    </row>
    <row r="114" spans="1:15" ht="15.75" hidden="1">
      <c r="A114" s="3303" t="str">
        <f>IF(项目基本情况!F5="已注销及未注销","4.抵押担保权已注销时的房地产抵押价值",IF(项目基本情况!F5="已注销","3.抵押担保权已注销时的房地产抵押价值","——"))</f>
        <v>——</v>
      </c>
      <c r="B114" s="3304"/>
      <c r="C114" s="1881" t="str">
        <f>B101</f>
        <v>总价（元）</v>
      </c>
      <c r="D114" s="1768" t="str">
        <f>IF(A114="——","——",D106-D110-D111)</f>
        <v>——</v>
      </c>
      <c r="E114" s="1059"/>
      <c r="F114" s="3242" t="str">
        <f>IF(项目基本情况!G5="抵押净值",IF(OR(项目基本情况!F5="已注销",项目基本情况!F5="房地产抵押价值"),"4.抵押净值","5.抵押净值"),"——")</f>
        <v>——</v>
      </c>
      <c r="G114" s="3243"/>
      <c r="H114" s="1881" t="str">
        <f>C116</f>
        <v>总价（元）</v>
      </c>
      <c r="I114" s="3068" t="str">
        <f>IF(F114="——","——",N59)</f>
        <v>——</v>
      </c>
    </row>
    <row r="115" spans="1:15" ht="15.75" hidden="1" thickBot="1">
      <c r="A115" s="3303"/>
      <c r="B115" s="3304"/>
      <c r="C115" s="1881" t="s">
        <v>1853</v>
      </c>
      <c r="D115" s="1769" t="str">
        <f>IF(A114="——","——",ROUND(IF(D114=D106,D107,IF(H19="元",D114/项目基本情况!C12,D114*10000/项目基本情况!C12)),0))</f>
        <v>——</v>
      </c>
      <c r="E115" s="1059"/>
      <c r="F115" s="3346"/>
      <c r="G115" s="3347"/>
      <c r="H115" s="1883" t="s">
        <v>1853</v>
      </c>
      <c r="I115" s="3078" t="str">
        <f ca="1">D117</f>
        <v>——</v>
      </c>
    </row>
    <row r="116" spans="1:15" ht="15" hidden="1">
      <c r="A116" s="3303" t="str">
        <f>IF(项目基本情况!G5="抵押净值",IF(OR(项目基本情况!F5="已注销",项目基本情况!F5="房地产抵押价值"),"4.抵押净值","5.抵押净值"),"——")</f>
        <v>——</v>
      </c>
      <c r="B116" s="3304"/>
      <c r="C116" s="1881" t="str">
        <f>B101</f>
        <v>总价（元）</v>
      </c>
      <c r="D116" s="1768" t="str">
        <f>IF(A116="——","——",N59)</f>
        <v>——</v>
      </c>
      <c r="E116" s="1059"/>
      <c r="F116" s="3237"/>
      <c r="G116" s="3237"/>
      <c r="H116" s="3282"/>
      <c r="I116" s="3282"/>
      <c r="N116" s="1892"/>
      <c r="O116" s="1892"/>
    </row>
    <row r="117" spans="1:15" ht="15" hidden="1" thickBot="1">
      <c r="A117" s="3355"/>
      <c r="B117" s="3356"/>
      <c r="C117" s="1883" t="s">
        <v>1853</v>
      </c>
      <c r="D117" s="1770" t="str">
        <f ca="1">IF(D116=D112,D113,IF(A116="——","——",N61))</f>
        <v>——</v>
      </c>
      <c r="E117" s="1059"/>
      <c r="F117" s="3342" t="str">
        <f>IF(B32="总价","（以上估价结果中单价为总价除以建筑面积得出）","（以上估价结果中总价为楼面单价乘以建筑面积得出）")</f>
        <v>（以上估价结果中总价为楼面单价乘以建筑面积得出）</v>
      </c>
      <c r="G117" s="3342"/>
      <c r="H117" s="3342"/>
      <c r="I117" s="3342"/>
      <c r="N117" s="1892"/>
      <c r="O117" s="1892"/>
    </row>
    <row r="118" spans="1:15" ht="13.5" hidden="1">
      <c r="A118" s="3283" t="s">
        <v>2898</v>
      </c>
      <c r="B118" s="3284"/>
      <c r="C118" s="3284"/>
      <c r="D118" s="3284"/>
      <c r="E118" s="3284"/>
      <c r="F118" s="3284"/>
      <c r="G118" s="3284"/>
      <c r="H118" s="3284"/>
      <c r="I118" s="3284"/>
    </row>
    <row r="119" spans="1:15" ht="13.5" hidden="1">
      <c r="A119" s="3254" t="s">
        <v>3</v>
      </c>
      <c r="B119" s="3252" t="s">
        <v>1882</v>
      </c>
      <c r="C119" s="3252" t="s">
        <v>698</v>
      </c>
      <c r="D119" s="3260" t="s">
        <v>2986</v>
      </c>
      <c r="E119" s="3261"/>
      <c r="F119" s="3250" t="s">
        <v>1883</v>
      </c>
      <c r="G119" s="3250"/>
      <c r="H119" s="3250" t="s">
        <v>4</v>
      </c>
      <c r="I119" s="3251"/>
    </row>
    <row r="120" spans="1:15" ht="13.5" hidden="1">
      <c r="A120" s="3254"/>
      <c r="B120" s="3253"/>
      <c r="C120" s="3253"/>
      <c r="D120" s="1800" t="s">
        <v>5</v>
      </c>
      <c r="E120" s="1800" t="s">
        <v>699</v>
      </c>
      <c r="F120" s="1800" t="s">
        <v>5</v>
      </c>
      <c r="G120" s="1800" t="s">
        <v>6</v>
      </c>
      <c r="H120" s="1800" t="s">
        <v>5</v>
      </c>
      <c r="I120" s="1811" t="s">
        <v>6</v>
      </c>
    </row>
    <row r="121" spans="1:15" ht="14.25" hidden="1">
      <c r="A121" s="1799" t="str">
        <f>项目基本情况!I1</f>
        <v>北京市房地产</v>
      </c>
      <c r="B121" s="1806">
        <f>项目基本情况!C12</f>
        <v>80.09</v>
      </c>
      <c r="C121" s="1806">
        <f>项目基本情况!C13</f>
        <v>0</v>
      </c>
      <c r="D121" s="1806">
        <f>ROUND(IF(B32="总价",C34,IF('数据-取费表'!B3="万元",E121*B121/10000,E121*B121)),0)</f>
        <v>0</v>
      </c>
      <c r="E121" s="1806">
        <f>ROUND(IF(B32="楼面单价",C34,IF(H19="元",D121/B121,D121*10000/B121)),0)</f>
        <v>0</v>
      </c>
      <c r="F121" s="1806">
        <f>ROUND(IF(B32="总价",C35,IF('数据-取费表'!B3="万元",G121*B121/10000,G121*B121)),0)</f>
        <v>0</v>
      </c>
      <c r="G121" s="1806">
        <f>ROUND(IF(B32="楼面单价",C35,IF(H19="元",F121/B121,F121*10000/B121)),0)</f>
        <v>0</v>
      </c>
      <c r="H121" s="1806">
        <f ca="1">ROUND(IF(B32="总价",C32,IF('数据-取费表'!B3="万元",I121*B121/10000,I121*B121)),0)</f>
        <v>1871543</v>
      </c>
      <c r="I121" s="855">
        <f ca="1">ROUND(IF(B32="楼面单价",C32,IF(H19="元",H121/B121,H121*10000/B121)),0)</f>
        <v>23368</v>
      </c>
    </row>
    <row r="122" spans="1:15" ht="13.5" hidden="1">
      <c r="A122" s="3254" t="s">
        <v>7</v>
      </c>
      <c r="B122" s="3250"/>
      <c r="C122" s="3250"/>
      <c r="D122" s="3287" t="str">
        <f>IF(H19="元",NUMBERSTRING(INT(D121),2)&amp;"元整",NUMBERSTRING(INT(D121*10000),2)&amp;"元整")</f>
        <v>零元整</v>
      </c>
      <c r="E122" s="3288"/>
      <c r="F122" s="3287" t="str">
        <f>IF(H19="元",NUMBERSTRING(INT(F121),2)&amp;"元整",NUMBERSTRING(INT(F121*10000),2)&amp;"元整")</f>
        <v>零元整</v>
      </c>
      <c r="G122" s="3288"/>
      <c r="H122" s="3287" t="str">
        <f ca="1">IF(H19="元",NUMBERSTRING(INT(H121),2)&amp;"元整",NUMBERSTRING(INT(H121*10000),2)&amp;"元整")</f>
        <v>壹佰捌拾柒万壹仟伍佰肆拾叁元整</v>
      </c>
      <c r="I122" s="3363"/>
    </row>
    <row r="123" spans="1:15" ht="15" hidden="1">
      <c r="A123" s="3289" t="str">
        <f>MID(A108,3,LEN(A108)-2)</f>
        <v>估价师所知悉的法定优先受偿款</v>
      </c>
      <c r="B123" s="3290"/>
      <c r="C123" s="3291"/>
      <c r="D123" s="3348">
        <f>I105</f>
        <v>0</v>
      </c>
      <c r="E123" s="3349"/>
      <c r="F123" s="3349"/>
      <c r="G123" s="3349"/>
      <c r="H123" s="3349"/>
      <c r="I123" s="3350"/>
    </row>
    <row r="124" spans="1:15" ht="13.5" hidden="1">
      <c r="A124" s="3292" t="s">
        <v>7</v>
      </c>
      <c r="B124" s="3293"/>
      <c r="C124" s="3294"/>
      <c r="D124" s="3351">
        <f>H109</f>
        <v>0</v>
      </c>
      <c r="E124" s="3352"/>
      <c r="F124" s="3352"/>
      <c r="G124" s="3352"/>
      <c r="H124" s="3352"/>
      <c r="I124" s="3353"/>
    </row>
    <row r="125" spans="1:15" ht="15" hidden="1">
      <c r="A125" s="3278" t="str">
        <f>MID(A112,3,LEN(A112)-2)</f>
        <v>房地产抵押价值</v>
      </c>
      <c r="B125" s="3279"/>
      <c r="C125" s="3279"/>
      <c r="D125" s="3348">
        <f ca="1">I110</f>
        <v>1871543</v>
      </c>
      <c r="E125" s="3349"/>
      <c r="F125" s="3349"/>
      <c r="G125" s="3349"/>
      <c r="H125" s="3349"/>
      <c r="I125" s="3350"/>
    </row>
    <row r="126" spans="1:15" ht="13.5" hidden="1">
      <c r="A126" s="3254" t="s">
        <v>7</v>
      </c>
      <c r="B126" s="3250"/>
      <c r="C126" s="3250"/>
      <c r="D126" s="3351">
        <f ca="1">I111</f>
        <v>23368</v>
      </c>
      <c r="E126" s="3352"/>
      <c r="F126" s="3352"/>
      <c r="G126" s="3352"/>
      <c r="H126" s="3352"/>
      <c r="I126" s="3353"/>
    </row>
    <row r="127" spans="1:15" ht="15.75" hidden="1" thickBot="1">
      <c r="A127" s="3278" t="str">
        <f>MID(A114,3,LEN(A114)-2)</f>
        <v/>
      </c>
      <c r="B127" s="3279"/>
      <c r="C127" s="3279"/>
      <c r="D127" s="3232" t="str">
        <f>I112</f>
        <v>——</v>
      </c>
      <c r="E127" s="3233"/>
      <c r="F127" s="3233"/>
      <c r="G127" s="3233"/>
      <c r="H127" s="3233"/>
      <c r="I127" s="3234"/>
    </row>
    <row r="128" spans="1:15" ht="15" hidden="1" thickTop="1" thickBot="1">
      <c r="A128" s="3254" t="s">
        <v>7</v>
      </c>
      <c r="B128" s="3250"/>
      <c r="C128" s="3343"/>
      <c r="D128" s="3281" t="str">
        <f>I113</f>
        <v>——</v>
      </c>
      <c r="E128" s="3281"/>
      <c r="F128" s="3281"/>
      <c r="G128" s="3281"/>
      <c r="H128" s="3281"/>
      <c r="I128" s="3281"/>
    </row>
    <row r="129" spans="1:9" ht="16.5" hidden="1" thickTop="1" thickBot="1">
      <c r="A129" s="3278" t="str">
        <f>MID(F114,3,LEN(F114)-2)</f>
        <v/>
      </c>
      <c r="B129" s="3279"/>
      <c r="C129" s="3280"/>
      <c r="D129" s="3354" t="str">
        <f>I114</f>
        <v>——</v>
      </c>
      <c r="E129" s="3354"/>
      <c r="F129" s="3354"/>
      <c r="G129" s="3354"/>
      <c r="H129" s="3354"/>
      <c r="I129" s="3354"/>
    </row>
    <row r="130" spans="1:9" ht="15" hidden="1" thickTop="1" thickBot="1">
      <c r="A130" s="3359" t="s">
        <v>7</v>
      </c>
      <c r="B130" s="3360"/>
      <c r="C130" s="3360"/>
      <c r="D130" s="3364">
        <f>H116</f>
        <v>0</v>
      </c>
      <c r="E130" s="3365"/>
      <c r="F130" s="3365"/>
      <c r="G130" s="3365"/>
      <c r="H130" s="3365"/>
      <c r="I130" s="3366"/>
    </row>
    <row r="131" spans="1:9" ht="12" hidden="1">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hidden="1" thickBot="1">
      <c r="A132" s="3341" t="str">
        <f>IF(B32="总价","（以上估价结果中楼面单价为总价除以建筑面积得出）","（以上估价结果中总价为楼面单价乘以建筑面积得出）")</f>
        <v>（以上估价结果中总价为楼面单价乘以建筑面积得出）</v>
      </c>
      <c r="B132" s="3341"/>
      <c r="C132" s="3341"/>
      <c r="D132" s="3341"/>
      <c r="E132" s="3341"/>
      <c r="F132" s="3341"/>
      <c r="G132" s="3341"/>
      <c r="H132" s="3341"/>
      <c r="I132" s="3341"/>
    </row>
    <row r="133" spans="1:9" ht="35.25" customHeight="1">
      <c r="A133" s="1893" t="s">
        <v>700</v>
      </c>
      <c r="B133" s="1894"/>
      <c r="C133" s="1895" t="s">
        <v>151</v>
      </c>
      <c r="D133" s="1251"/>
      <c r="E133" s="2110"/>
      <c r="F133" s="2110"/>
      <c r="G133" s="1251"/>
      <c r="H133" s="1252"/>
      <c r="I133" s="1253"/>
    </row>
    <row r="134" spans="1:9" ht="25.5" customHeight="1">
      <c r="A134" s="1249">
        <v>1</v>
      </c>
      <c r="B134" s="1250"/>
      <c r="C134" s="1250"/>
      <c r="D134" s="1251"/>
      <c r="E134" s="2110"/>
      <c r="F134" s="2110"/>
      <c r="G134" s="1251"/>
      <c r="H134" s="1252"/>
      <c r="I134" s="1253"/>
    </row>
    <row r="135" spans="1:9" ht="30" customHeight="1">
      <c r="A135" s="1249">
        <v>2</v>
      </c>
      <c r="B135" s="1250"/>
      <c r="C135" s="1250"/>
      <c r="D135" s="1251"/>
      <c r="E135" s="2110"/>
      <c r="F135" s="2110"/>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68" t="s">
        <v>2217</v>
      </c>
      <c r="B2" s="3368"/>
      <c r="C2" s="3368"/>
      <c r="D2" s="3368"/>
      <c r="E2" s="3368"/>
      <c r="F2" s="3368"/>
      <c r="G2" s="3368"/>
      <c r="H2" s="3368"/>
      <c r="I2" s="3368"/>
    </row>
    <row r="3" spans="1:12" ht="12">
      <c r="A3" s="3313" t="s">
        <v>8</v>
      </c>
      <c r="B3" s="3314"/>
      <c r="C3" s="3314"/>
      <c r="D3" s="3314"/>
      <c r="E3" s="3314"/>
      <c r="F3" s="3314"/>
      <c r="G3" s="3314"/>
      <c r="H3" s="3314"/>
      <c r="I3" s="3314"/>
    </row>
    <row r="4" spans="1:12" ht="13.5">
      <c r="A4" s="237" t="s">
        <v>9</v>
      </c>
      <c r="B4" s="2041" t="s">
        <v>10</v>
      </c>
      <c r="C4" s="238"/>
      <c r="D4" s="238"/>
      <c r="E4" s="3318" t="s">
        <v>674</v>
      </c>
      <c r="F4" s="3319"/>
      <c r="G4" s="3319"/>
      <c r="H4" s="3319"/>
      <c r="I4" s="3320"/>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06" t="s">
        <v>11</v>
      </c>
      <c r="B5" s="3307">
        <v>25</v>
      </c>
      <c r="C5" s="3315"/>
      <c r="D5" s="3312"/>
      <c r="E5" s="272" t="s">
        <v>717</v>
      </c>
      <c r="F5" s="239"/>
      <c r="G5" s="239"/>
      <c r="H5" s="239"/>
      <c r="I5" s="240"/>
    </row>
    <row r="6" spans="1:12" ht="12.75">
      <c r="A6" s="3306"/>
      <c r="B6" s="3307"/>
      <c r="C6" s="3316"/>
      <c r="D6" s="3312"/>
      <c r="E6" s="272" t="s">
        <v>718</v>
      </c>
      <c r="F6" s="239"/>
      <c r="G6" s="239"/>
      <c r="H6" s="239"/>
      <c r="I6" s="240"/>
    </row>
    <row r="7" spans="1:12" ht="12.75">
      <c r="A7" s="3306"/>
      <c r="B7" s="3307"/>
      <c r="C7" s="3317"/>
      <c r="D7" s="3312"/>
      <c r="E7" s="272" t="s">
        <v>719</v>
      </c>
      <c r="F7" s="239"/>
      <c r="G7" s="239"/>
      <c r="H7" s="239"/>
      <c r="I7" s="240"/>
    </row>
    <row r="8" spans="1:12" ht="12.75">
      <c r="A8" s="3306" t="s">
        <v>12</v>
      </c>
      <c r="B8" s="3307">
        <v>15</v>
      </c>
      <c r="C8" s="3315"/>
      <c r="D8" s="3312"/>
      <c r="E8" s="272" t="s">
        <v>720</v>
      </c>
      <c r="F8" s="239"/>
      <c r="G8" s="239"/>
      <c r="H8" s="239"/>
      <c r="I8" s="240"/>
    </row>
    <row r="9" spans="1:12" ht="12.75">
      <c r="A9" s="3306"/>
      <c r="B9" s="3307"/>
      <c r="C9" s="3317"/>
      <c r="D9" s="3312"/>
      <c r="E9" s="272" t="s">
        <v>721</v>
      </c>
      <c r="F9" s="239"/>
      <c r="G9" s="239"/>
      <c r="H9" s="239"/>
      <c r="I9" s="240"/>
    </row>
    <row r="10" spans="1:12" ht="12.75">
      <c r="A10" s="3306" t="s">
        <v>13</v>
      </c>
      <c r="B10" s="3307">
        <v>15</v>
      </c>
      <c r="C10" s="3315"/>
      <c r="D10" s="3312"/>
      <c r="E10" s="272" t="s">
        <v>722</v>
      </c>
      <c r="F10" s="239"/>
      <c r="G10" s="239"/>
      <c r="H10" s="239"/>
      <c r="I10" s="240"/>
    </row>
    <row r="11" spans="1:12" ht="12.75">
      <c r="A11" s="3306"/>
      <c r="B11" s="3307"/>
      <c r="C11" s="3317"/>
      <c r="D11" s="3312"/>
      <c r="E11" s="272" t="s">
        <v>723</v>
      </c>
      <c r="F11" s="239"/>
      <c r="G11" s="239"/>
      <c r="H11" s="239"/>
      <c r="I11" s="240"/>
    </row>
    <row r="12" spans="1:12" ht="12.75">
      <c r="A12" s="3306" t="s">
        <v>14</v>
      </c>
      <c r="B12" s="3307">
        <v>15</v>
      </c>
      <c r="C12" s="3315"/>
      <c r="D12" s="3312"/>
      <c r="E12" s="272" t="s">
        <v>724</v>
      </c>
      <c r="F12" s="239"/>
      <c r="G12" s="239"/>
      <c r="H12" s="239"/>
      <c r="I12" s="240"/>
    </row>
    <row r="13" spans="1:12" ht="12.75">
      <c r="A13" s="3306"/>
      <c r="B13" s="3307"/>
      <c r="C13" s="3317"/>
      <c r="D13" s="3312"/>
      <c r="E13" s="272" t="s">
        <v>725</v>
      </c>
      <c r="F13" s="239"/>
      <c r="G13" s="239"/>
      <c r="H13" s="239"/>
      <c r="I13" s="240"/>
    </row>
    <row r="14" spans="1:12" ht="12.75">
      <c r="A14" s="3306" t="s">
        <v>15</v>
      </c>
      <c r="B14" s="3307">
        <v>30</v>
      </c>
      <c r="C14" s="3315"/>
      <c r="D14" s="3312"/>
      <c r="E14" s="272" t="s">
        <v>726</v>
      </c>
      <c r="F14" s="239"/>
      <c r="G14" s="239"/>
      <c r="H14" s="239"/>
      <c r="I14" s="240"/>
    </row>
    <row r="15" spans="1:12" ht="12.75">
      <c r="A15" s="3306"/>
      <c r="B15" s="3307"/>
      <c r="C15" s="3316"/>
      <c r="D15" s="3312"/>
      <c r="E15" s="272" t="s">
        <v>727</v>
      </c>
      <c r="F15" s="239"/>
      <c r="G15" s="239"/>
      <c r="H15" s="239"/>
      <c r="I15" s="240"/>
    </row>
    <row r="16" spans="1:12" ht="12.75">
      <c r="A16" s="3306"/>
      <c r="B16" s="3307"/>
      <c r="C16" s="3317"/>
      <c r="D16" s="3312"/>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21" t="s">
        <v>184</v>
      </c>
      <c r="B24" s="244" t="s">
        <v>18</v>
      </c>
      <c r="C24" s="277">
        <f>D30</f>
        <v>0</v>
      </c>
      <c r="D24" s="251"/>
      <c r="E24" s="1059"/>
      <c r="F24" s="1059"/>
      <c r="G24" s="1059"/>
      <c r="H24" s="1059"/>
      <c r="I24" s="1059"/>
    </row>
    <row r="25" spans="1:35" ht="21.75" customHeight="1">
      <c r="A25" s="3322"/>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78" t="s">
        <v>2219</v>
      </c>
      <c r="B31" s="3378"/>
      <c r="C31" s="3378"/>
      <c r="D31" s="3378"/>
      <c r="E31" s="3378"/>
      <c r="F31" s="3378"/>
      <c r="G31" s="3378"/>
      <c r="H31" s="3378"/>
      <c r="I31" s="3378"/>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328" t="s">
        <v>676</v>
      </c>
      <c r="B37" s="258" t="s">
        <v>677</v>
      </c>
      <c r="C37" s="286"/>
      <c r="D37" s="1891"/>
      <c r="E37" s="1795"/>
      <c r="F37" s="1795"/>
      <c r="G37" s="1059"/>
      <c r="H37" s="1059"/>
      <c r="I37" s="1059"/>
    </row>
    <row r="38" spans="1:16" ht="15.75" thickBot="1">
      <c r="A38" s="3329"/>
      <c r="B38" s="5" t="s">
        <v>679</v>
      </c>
      <c r="C38" s="288"/>
      <c r="D38" s="8"/>
      <c r="E38" s="8"/>
      <c r="F38" s="1795"/>
      <c r="G38" s="8"/>
      <c r="H38" s="8"/>
      <c r="I38" s="8"/>
    </row>
    <row r="39" spans="1:16" ht="15.75" thickBot="1">
      <c r="A39" s="3330"/>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34" t="s">
        <v>709</v>
      </c>
      <c r="B46" s="3335"/>
      <c r="C46" s="3336"/>
      <c r="D46" s="297">
        <f>ROUND(I103*F46,0)</f>
        <v>0</v>
      </c>
      <c r="E46" s="298" t="s">
        <v>710</v>
      </c>
      <c r="F46" s="299">
        <v>1</v>
      </c>
      <c r="G46" s="300" t="s">
        <v>711</v>
      </c>
      <c r="H46" s="1059"/>
      <c r="I46" s="1059"/>
      <c r="J46" s="3238" t="s">
        <v>216</v>
      </c>
      <c r="K46" s="3238"/>
      <c r="L46" s="3238"/>
      <c r="M46" s="3238"/>
      <c r="N46" s="3238"/>
      <c r="O46" s="3238"/>
      <c r="P46" s="1226"/>
    </row>
    <row r="47" spans="1:16" ht="14.25" customHeight="1">
      <c r="A47" s="3323" t="s">
        <v>300</v>
      </c>
      <c r="B47" s="3324"/>
      <c r="C47" s="3324"/>
      <c r="D47" s="3324"/>
      <c r="E47" s="3324"/>
      <c r="F47" s="3324"/>
      <c r="G47" s="3325"/>
      <c r="H47" s="1071"/>
      <c r="I47" s="1025"/>
      <c r="J47" s="3032">
        <v>1</v>
      </c>
      <c r="K47" s="3238" t="s">
        <v>217</v>
      </c>
      <c r="L47" s="3238"/>
      <c r="M47" s="3367"/>
      <c r="N47" s="3367"/>
      <c r="O47" s="3367"/>
      <c r="P47" s="1226"/>
    </row>
    <row r="48" spans="1:16" ht="12" customHeight="1">
      <c r="A48" s="302" t="s">
        <v>301</v>
      </c>
      <c r="B48" s="303"/>
      <c r="C48" s="304"/>
      <c r="D48" s="305" t="s">
        <v>302</v>
      </c>
      <c r="E48" s="197" t="s">
        <v>303</v>
      </c>
      <c r="F48" s="306" t="s">
        <v>712</v>
      </c>
      <c r="G48" s="307" t="s">
        <v>713</v>
      </c>
      <c r="H48" s="1071"/>
      <c r="I48" s="1025"/>
      <c r="J48" s="3032">
        <v>2</v>
      </c>
      <c r="K48" s="3238" t="s">
        <v>218</v>
      </c>
      <c r="L48" s="3238"/>
      <c r="M48" s="3240">
        <f>'数据-取费表'!B2</f>
        <v>42969</v>
      </c>
      <c r="N48" s="3240"/>
      <c r="O48" s="3240"/>
      <c r="P48" s="1226"/>
    </row>
    <row r="49" spans="1:16" ht="25.5">
      <c r="A49" s="3331" t="s">
        <v>304</v>
      </c>
      <c r="B49" s="3332"/>
      <c r="C49" s="3332"/>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238" t="s">
        <v>692</v>
      </c>
      <c r="L49" s="3238"/>
      <c r="M49" s="3241">
        <f>I103</f>
        <v>0</v>
      </c>
      <c r="N49" s="3241"/>
      <c r="O49" s="3241"/>
      <c r="P49" s="1226"/>
    </row>
    <row r="50" spans="1:16" ht="25.5" customHeight="1">
      <c r="A50" s="309" t="s">
        <v>305</v>
      </c>
      <c r="B50" s="3309" t="s">
        <v>715</v>
      </c>
      <c r="C50" s="3309"/>
      <c r="D50" s="310">
        <v>0</v>
      </c>
      <c r="E50" s="196" t="s">
        <v>306</v>
      </c>
      <c r="F50" s="201" t="s">
        <v>178</v>
      </c>
      <c r="G50" s="3229"/>
      <c r="H50" s="1059"/>
      <c r="I50" s="1072"/>
      <c r="J50" s="3032">
        <v>4</v>
      </c>
      <c r="K50" s="3238" t="str">
        <f>IF(项目基本情况!F5="房地产抵押价值","房地产抵押价值","抵押担保权已注销时的房地产抵押价值")</f>
        <v>抵押担保权已注销时的房地产抵押价值</v>
      </c>
      <c r="L50" s="3238"/>
      <c r="M50" s="3241" t="str">
        <f>IF(项目基本情况!E8="房地产抵押价值",I111,I113)</f>
        <v>——</v>
      </c>
      <c r="N50" s="3241"/>
      <c r="O50" s="3241"/>
      <c r="P50" s="1226"/>
    </row>
    <row r="51" spans="1:16" ht="25.5" customHeight="1">
      <c r="A51" s="311"/>
      <c r="B51" s="3309" t="s">
        <v>307</v>
      </c>
      <c r="C51" s="3309"/>
      <c r="D51" s="312"/>
      <c r="E51" s="204"/>
      <c r="F51" s="313"/>
      <c r="G51" s="3230"/>
      <c r="H51" s="1059"/>
      <c r="I51" s="1072"/>
      <c r="J51" s="3238" t="s">
        <v>219</v>
      </c>
      <c r="K51" s="3238"/>
      <c r="L51" s="3238"/>
      <c r="M51" s="3238"/>
      <c r="N51" s="3238"/>
      <c r="O51" s="3238"/>
      <c r="P51" s="1226"/>
    </row>
    <row r="52" spans="1:16" ht="12" customHeight="1">
      <c r="A52" s="314"/>
      <c r="B52" s="3309" t="s">
        <v>308</v>
      </c>
      <c r="C52" s="3309"/>
      <c r="D52" s="315"/>
      <c r="E52" s="203"/>
      <c r="F52" s="313"/>
      <c r="G52" s="3231"/>
      <c r="H52" s="1059"/>
      <c r="I52" s="1072"/>
      <c r="J52" s="3030" t="s">
        <v>220</v>
      </c>
      <c r="K52" s="3238" t="s">
        <v>221</v>
      </c>
      <c r="L52" s="3238"/>
      <c r="M52" s="3030" t="s">
        <v>222</v>
      </c>
      <c r="N52" s="3030" t="s">
        <v>223</v>
      </c>
      <c r="O52" s="3030" t="s">
        <v>224</v>
      </c>
      <c r="P52" s="1226"/>
    </row>
    <row r="53" spans="1:16" ht="24" customHeight="1">
      <c r="A53" s="316" t="s">
        <v>309</v>
      </c>
      <c r="B53" s="3309" t="s">
        <v>310</v>
      </c>
      <c r="C53" s="3309"/>
      <c r="D53" s="315">
        <f>ROUND(D46*'数据-取费表'!E29/(1+'数据-取费表'!F30),0)</f>
        <v>0</v>
      </c>
      <c r="E53" s="193" t="s">
        <v>311</v>
      </c>
      <c r="F53" s="317">
        <f>'数据-取费表'!E29</f>
        <v>5.6000000000000001E-2</v>
      </c>
      <c r="G53" s="268"/>
      <c r="H53" s="1059"/>
      <c r="I53" s="1072"/>
      <c r="J53" s="3032">
        <v>1</v>
      </c>
      <c r="K53" s="3228" t="s">
        <v>693</v>
      </c>
      <c r="L53" s="3228"/>
      <c r="M53" s="1229">
        <f>D49</f>
        <v>0</v>
      </c>
      <c r="N53" s="3031" t="str">
        <f>E49</f>
        <v>销售额×税（费）率</v>
      </c>
      <c r="O53" s="1230">
        <f>F49</f>
        <v>5.6000000000000001E-2</v>
      </c>
      <c r="P53" s="1226"/>
    </row>
    <row r="54" spans="1:16" ht="12" customHeight="1">
      <c r="A54" s="316" t="s">
        <v>312</v>
      </c>
      <c r="B54" s="3308" t="s">
        <v>313</v>
      </c>
      <c r="C54" s="3311"/>
      <c r="D54" s="315">
        <f>ROUND(D46*'数据-取费表'!E29/(1+'数据-取费表'!F30),0)</f>
        <v>0</v>
      </c>
      <c r="E54" s="193" t="s">
        <v>311</v>
      </c>
      <c r="F54" s="317">
        <f>'数据-取费表'!E29</f>
        <v>5.6000000000000001E-2</v>
      </c>
      <c r="G54" s="268"/>
      <c r="H54" s="1059"/>
      <c r="I54" s="1072"/>
      <c r="J54" s="3032">
        <v>2</v>
      </c>
      <c r="K54" s="3228" t="s">
        <v>694</v>
      </c>
      <c r="L54" s="3228"/>
      <c r="M54" s="1229">
        <f t="shared" ref="M54:O55" si="1">D56</f>
        <v>0</v>
      </c>
      <c r="N54" s="3031" t="str">
        <f t="shared" si="1"/>
        <v>销售额×税（费）率</v>
      </c>
      <c r="O54" s="1230">
        <f t="shared" si="1"/>
        <v>5.0000000000000001E-4</v>
      </c>
      <c r="P54" s="1226"/>
    </row>
    <row r="55" spans="1:16" ht="12" customHeight="1">
      <c r="A55" s="316" t="s">
        <v>314</v>
      </c>
      <c r="B55" s="3308" t="s">
        <v>315</v>
      </c>
      <c r="C55" s="3311"/>
      <c r="D55" s="315">
        <f>C69</f>
        <v>0</v>
      </c>
      <c r="E55" s="203" t="s">
        <v>316</v>
      </c>
      <c r="F55" s="317">
        <f>'数据-取费表'!E29</f>
        <v>5.6000000000000001E-2</v>
      </c>
      <c r="G55" s="268"/>
      <c r="H55" s="1073"/>
      <c r="I55" s="1072"/>
      <c r="J55" s="3032">
        <v>3</v>
      </c>
      <c r="K55" s="3228" t="s">
        <v>695</v>
      </c>
      <c r="L55" s="3228"/>
      <c r="M55" s="1229">
        <f t="shared" si="1"/>
        <v>0</v>
      </c>
      <c r="N55" s="3031" t="str">
        <f t="shared" si="1"/>
        <v>增值额×税（费）率</v>
      </c>
      <c r="O55" s="1231" t="str">
        <f t="shared" si="1"/>
        <v>——</v>
      </c>
      <c r="P55" s="1226"/>
    </row>
    <row r="56" spans="1:16" ht="24" customHeight="1">
      <c r="A56" s="3337" t="s">
        <v>317</v>
      </c>
      <c r="B56" s="3332"/>
      <c r="C56" s="3332"/>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228" t="str">
        <f>IF(H60="非个人房产","——","个人所得税")</f>
        <v>——</v>
      </c>
      <c r="L56" s="3228"/>
      <c r="M56" s="1232" t="str">
        <f>D60</f>
        <v>——</v>
      </c>
      <c r="N56" s="1233" t="str">
        <f>E60</f>
        <v>——</v>
      </c>
      <c r="O56" s="1234" t="str">
        <f>F60</f>
        <v>——</v>
      </c>
      <c r="P56" s="1226"/>
    </row>
    <row r="57" spans="1:16" ht="24.75">
      <c r="A57" s="3337" t="s">
        <v>319</v>
      </c>
      <c r="B57" s="3332"/>
      <c r="C57" s="3332"/>
      <c r="D57" s="318">
        <f>IF(H57="个人住宅",D58,D59)</f>
        <v>0</v>
      </c>
      <c r="E57" s="193" t="s">
        <v>320</v>
      </c>
      <c r="F57" s="317" t="str">
        <f>IF(H57="正常",F59,"免征")</f>
        <v>——</v>
      </c>
      <c r="G57" s="1074" t="s">
        <v>175</v>
      </c>
      <c r="H57" s="1219" t="s">
        <v>157</v>
      </c>
      <c r="I57" s="167"/>
      <c r="J57" s="3032" t="str">
        <f>IF(项目基本情况!I6="上海银行",IF(J56="",4,J56+1),"")</f>
        <v/>
      </c>
      <c r="K57" s="3247" t="str">
        <f>IF(项目基本情况!I6="上海银行","其他处置费用","")</f>
        <v/>
      </c>
      <c r="L57" s="3248"/>
      <c r="M57" s="1229" t="str">
        <f>IF(项目基本情况!I6="上海银行",M70,"")</f>
        <v/>
      </c>
      <c r="N57" s="3226" t="str">
        <f>IF(项目基本情况!I6="上海银行","包含处置中涉及的律师、诉讼、拍卖、评估等费用","")</f>
        <v/>
      </c>
      <c r="O57" s="3227"/>
      <c r="P57" s="1226"/>
    </row>
    <row r="58" spans="1:16" ht="12.75">
      <c r="A58" s="316" t="s">
        <v>305</v>
      </c>
      <c r="B58" s="3326" t="s">
        <v>321</v>
      </c>
      <c r="C58" s="3333"/>
      <c r="D58" s="320">
        <v>0</v>
      </c>
      <c r="E58" s="196" t="s">
        <v>306</v>
      </c>
      <c r="F58" s="287"/>
      <c r="G58" s="268"/>
      <c r="H58" s="167"/>
      <c r="I58" s="167"/>
      <c r="J58" s="3246">
        <f>IF(AND(J56="",J57=""),4,IF(项目基本情况!I6="上海银行",J57+1,J56+1))</f>
        <v>4</v>
      </c>
      <c r="K58" s="3228" t="s">
        <v>183</v>
      </c>
      <c r="L58" s="1235" t="s">
        <v>225</v>
      </c>
      <c r="M58" s="1236"/>
      <c r="N58" s="1237">
        <f>SUMIF(M53:M57,"&lt;9e307")</f>
        <v>0</v>
      </c>
      <c r="O58" s="1238"/>
      <c r="P58" s="3033" t="e">
        <f>N58/M50</f>
        <v>#VALUE!</v>
      </c>
    </row>
    <row r="59" spans="1:16" ht="24.75">
      <c r="A59" s="316" t="s">
        <v>309</v>
      </c>
      <c r="B59" s="3326" t="s">
        <v>322</v>
      </c>
      <c r="C59" s="3327"/>
      <c r="D59" s="318">
        <f>IF(H59="转让取得",C82,C98)</f>
        <v>0</v>
      </c>
      <c r="E59" s="193" t="s">
        <v>320</v>
      </c>
      <c r="F59" s="197" t="s">
        <v>178</v>
      </c>
      <c r="G59" s="268"/>
      <c r="H59" s="1219" t="s">
        <v>1043</v>
      </c>
      <c r="I59" s="167"/>
      <c r="J59" s="3246"/>
      <c r="K59" s="3228"/>
      <c r="L59" s="1235" t="s">
        <v>226</v>
      </c>
      <c r="M59" s="1239"/>
      <c r="N59" s="1240" t="str">
        <f>IF(H19="元",NUMBERSTRING(INT(N58),2)&amp;"元整",NUMBERSTRING(INT(N58*10000),2)&amp;"元整")</f>
        <v>零元整</v>
      </c>
      <c r="O59" s="1241"/>
      <c r="P59" s="1226"/>
    </row>
    <row r="60" spans="1:16" ht="24.75" thickBot="1">
      <c r="A60" s="3338" t="s">
        <v>323</v>
      </c>
      <c r="B60" s="3339"/>
      <c r="C60" s="3339"/>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285">
        <f>J58+1</f>
        <v>5</v>
      </c>
      <c r="K60" s="3228" t="s">
        <v>179</v>
      </c>
      <c r="L60" s="3031" t="s">
        <v>225</v>
      </c>
      <c r="M60" s="1242"/>
      <c r="N60" s="1243" t="e">
        <f>M50-N58</f>
        <v>#VALUE!</v>
      </c>
      <c r="O60" s="1244"/>
      <c r="P60" s="1226"/>
    </row>
    <row r="61" spans="1:16" ht="12" customHeight="1">
      <c r="A61" s="1716"/>
      <c r="B61" s="1059"/>
      <c r="C61" s="1059"/>
      <c r="D61" s="1059"/>
      <c r="E61" s="167"/>
      <c r="F61" s="167"/>
      <c r="G61" s="167"/>
      <c r="H61" s="168"/>
      <c r="I61" s="1059"/>
      <c r="J61" s="3286"/>
      <c r="K61" s="3228"/>
      <c r="L61" s="1235" t="s">
        <v>226</v>
      </c>
      <c r="M61" s="1239"/>
      <c r="N61" s="1240" t="e">
        <f>IF(H19="元",NUMBERSTRING(INT(N60),2)&amp;"元整",NUMBERSTRING(INT(N60*10000),2)&amp;"元整")</f>
        <v>#VALUE!</v>
      </c>
      <c r="O61" s="1241"/>
      <c r="P61" s="1226"/>
    </row>
    <row r="62" spans="1:16" ht="13.5" thickBot="1">
      <c r="A62" s="3340" t="s">
        <v>324</v>
      </c>
      <c r="B62" s="3340"/>
      <c r="C62" s="3340"/>
      <c r="D62" s="3340"/>
      <c r="E62" s="3340"/>
      <c r="F62" s="167"/>
      <c r="G62" s="167"/>
      <c r="H62" s="168"/>
      <c r="I62" s="1059"/>
      <c r="J62" s="3032">
        <f>J60+1</f>
        <v>6</v>
      </c>
      <c r="K62" s="3228" t="s">
        <v>227</v>
      </c>
      <c r="L62" s="3228"/>
      <c r="M62" s="1245"/>
      <c r="N62" s="1246" t="e">
        <f>IF(H19="元",ROUND(N60/项目基本情况!C12,0),ROUND(N60*10000/项目基本情况!C12,0))</f>
        <v>#VALUE!</v>
      </c>
      <c r="O62" s="1247"/>
      <c r="P62" s="1226"/>
    </row>
    <row r="63" spans="1:16" ht="12.75">
      <c r="A63" s="3269" t="s">
        <v>325</v>
      </c>
      <c r="B63" s="3270"/>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249"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249"/>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249"/>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2" t="s">
        <v>2897</v>
      </c>
      <c r="F67" s="167"/>
      <c r="G67" s="167"/>
      <c r="H67" s="168"/>
      <c r="I67" s="1059"/>
      <c r="J67" s="3249"/>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249"/>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249"/>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249"/>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71" t="s">
        <v>332</v>
      </c>
      <c r="B71" s="3272"/>
      <c r="C71" s="3272"/>
      <c r="D71" s="3272"/>
      <c r="E71" s="3272"/>
      <c r="F71" s="3272"/>
      <c r="G71" s="3272"/>
      <c r="H71" s="3272"/>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269" t="s">
        <v>325</v>
      </c>
      <c r="B72" s="3270"/>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08" t="s">
        <v>341</v>
      </c>
      <c r="F77" s="3309"/>
      <c r="G77" s="3309"/>
      <c r="H77" s="3310"/>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59" t="s">
        <v>2425</v>
      </c>
      <c r="F79" s="3236"/>
      <c r="G79" s="3236"/>
      <c r="H79" s="3258"/>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271" t="s">
        <v>347</v>
      </c>
      <c r="B84" s="3272"/>
      <c r="C84" s="3272"/>
      <c r="D84" s="3272"/>
      <c r="E84" s="3272"/>
      <c r="F84" s="3272"/>
      <c r="G84" s="3272"/>
      <c r="H84" s="3272"/>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269" t="s">
        <v>325</v>
      </c>
      <c r="B85" s="3270"/>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35" t="s">
        <v>708</v>
      </c>
      <c r="F92" s="3236"/>
      <c r="G92" s="3236"/>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35" t="s">
        <v>356</v>
      </c>
      <c r="F93" s="3236"/>
      <c r="G93" s="3236"/>
      <c r="H93" s="3258"/>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59" t="s">
        <v>2425</v>
      </c>
      <c r="F94" s="3236"/>
      <c r="G94" s="3236"/>
      <c r="H94" s="3258"/>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35" t="s">
        <v>358</v>
      </c>
      <c r="F95" s="3236"/>
      <c r="G95" s="3236"/>
      <c r="H95" s="3258"/>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55" t="s">
        <v>241</v>
      </c>
      <c r="B100" s="3256"/>
      <c r="C100" s="3256"/>
      <c r="D100" s="3257"/>
      <c r="E100" s="1059"/>
      <c r="F100" s="3266" t="s">
        <v>2769</v>
      </c>
      <c r="G100" s="3267"/>
      <c r="H100" s="3267"/>
      <c r="I100" s="3268"/>
    </row>
    <row r="101" spans="1:35" ht="14.25">
      <c r="A101" s="3273" t="s">
        <v>212</v>
      </c>
      <c r="B101" s="3274"/>
      <c r="C101" s="1084">
        <f>C4</f>
        <v>0</v>
      </c>
      <c r="D101" s="1085">
        <f>D4</f>
        <v>0</v>
      </c>
      <c r="E101" s="1059"/>
      <c r="F101" s="3275" t="s">
        <v>1855</v>
      </c>
      <c r="G101" s="3277"/>
      <c r="H101" s="3369" t="s">
        <v>1967</v>
      </c>
      <c r="I101" s="3276"/>
    </row>
    <row r="102" spans="1:35" ht="15.75">
      <c r="A102" s="3370" t="s">
        <v>2220</v>
      </c>
      <c r="B102" s="1679" t="str">
        <f>IF(H19="元","总价（元）","总价（万元）")</f>
        <v>总价（元）</v>
      </c>
      <c r="C102" s="1051" t="e">
        <f ca="1">C19</f>
        <v>#REF!</v>
      </c>
      <c r="D102" s="1052" t="e">
        <f ca="1">D19</f>
        <v>#REF!</v>
      </c>
      <c r="E102" s="1059"/>
      <c r="F102" s="3371"/>
      <c r="G102" s="3372"/>
      <c r="H102" s="3344">
        <f>典型户型修正!B25</f>
        <v>0</v>
      </c>
      <c r="I102" s="3345"/>
    </row>
    <row r="103" spans="1:35" ht="15.75">
      <c r="A103" s="3370"/>
      <c r="B103" s="1679" t="s">
        <v>1853</v>
      </c>
      <c r="C103" s="1053" t="e">
        <f ca="1">C20</f>
        <v>#REF!</v>
      </c>
      <c r="D103" s="1054" t="e">
        <f ca="1">D20</f>
        <v>#REF!</v>
      </c>
      <c r="E103" s="1059"/>
      <c r="F103" s="3361" t="s">
        <v>1861</v>
      </c>
      <c r="G103" s="3362"/>
      <c r="H103" s="1881" t="str">
        <f>C109</f>
        <v>总价（元）</v>
      </c>
      <c r="I103" s="3068">
        <f>H124</f>
        <v>0</v>
      </c>
    </row>
    <row r="104" spans="1:35" ht="15">
      <c r="A104" s="3370" t="s">
        <v>2221</v>
      </c>
      <c r="B104" s="1680" t="str">
        <f>B102</f>
        <v>总价（元）</v>
      </c>
      <c r="C104" s="2048" t="e">
        <f ca="1">ROUND(IF('数据-取费表'!B4="总价",G19,IF(H19="元",G20*'数据-取费表'!E5,G20*'数据-取费表'!E5/10000)),0)</f>
        <v>#REF!</v>
      </c>
      <c r="D104" s="1056"/>
      <c r="E104" s="1059"/>
      <c r="F104" s="3361"/>
      <c r="G104" s="3362"/>
      <c r="H104" s="1881" t="s">
        <v>1853</v>
      </c>
      <c r="I104" s="1767" t="e">
        <f>I124</f>
        <v>#DIV/0!</v>
      </c>
    </row>
    <row r="105" spans="1:35" ht="15">
      <c r="A105" s="3370"/>
      <c r="B105" s="1679" t="s">
        <v>1853</v>
      </c>
      <c r="C105" s="2051" t="e">
        <f ca="1">ROUND(IF('数据-取费表'!B4="楼面单价",G20,IF(H19="元",G19/'数据-取费表'!E5,G19*10000/'数据-取费表'!E5)),0)</f>
        <v>#REF!</v>
      </c>
      <c r="D105" s="1056"/>
      <c r="E105" s="1059"/>
      <c r="F105" s="3262"/>
      <c r="G105" s="3263"/>
      <c r="H105" s="3297"/>
      <c r="I105" s="3298"/>
    </row>
    <row r="106" spans="1:35" ht="15.75">
      <c r="A106" s="3377" t="s">
        <v>2218</v>
      </c>
      <c r="B106" s="2046" t="str">
        <f>B102</f>
        <v>总价（元）</v>
      </c>
      <c r="C106" s="1055">
        <f>H124</f>
        <v>0</v>
      </c>
      <c r="D106" s="2047"/>
      <c r="E106" s="1059"/>
      <c r="F106" s="3301" t="s">
        <v>1962</v>
      </c>
      <c r="G106" s="3302"/>
      <c r="H106" s="1882" t="str">
        <f>C111</f>
        <v>总额（元）</v>
      </c>
      <c r="I106" s="3068">
        <f>SUMIF(I107:I109,"&lt;9E307")</f>
        <v>0</v>
      </c>
    </row>
    <row r="107" spans="1:35" ht="15.75" thickBot="1">
      <c r="A107" s="3296"/>
      <c r="B107" s="1681" t="s">
        <v>1853</v>
      </c>
      <c r="C107" s="1057" t="e">
        <f>I124</f>
        <v>#DIV/0!</v>
      </c>
      <c r="D107" s="1058"/>
      <c r="E107" s="1059"/>
      <c r="F107" s="3264" t="s">
        <v>1858</v>
      </c>
      <c r="G107" s="3265"/>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3" t="s">
        <v>2768</v>
      </c>
      <c r="B108" s="3374"/>
      <c r="C108" s="3374"/>
      <c r="D108" s="3375"/>
      <c r="E108" s="1059"/>
      <c r="F108" s="3264" t="s">
        <v>1859</v>
      </c>
      <c r="G108" s="3265"/>
      <c r="H108" s="1882" t="str">
        <f>C113</f>
        <v>总额（元）</v>
      </c>
      <c r="I108" s="1767">
        <f>C38</f>
        <v>0</v>
      </c>
      <c r="K108" s="2127"/>
    </row>
    <row r="109" spans="1:35" ht="15">
      <c r="A109" s="3303" t="s">
        <v>1862</v>
      </c>
      <c r="B109" s="3304"/>
      <c r="C109" s="1881" t="str">
        <f>B102</f>
        <v>总价（元）</v>
      </c>
      <c r="D109" s="1768">
        <f>H124</f>
        <v>0</v>
      </c>
      <c r="E109" s="1059"/>
      <c r="F109" s="3264" t="s">
        <v>1860</v>
      </c>
      <c r="G109" s="3265"/>
      <c r="H109" s="1882" t="str">
        <f>C114</f>
        <v>总额（元）</v>
      </c>
      <c r="I109" s="1767">
        <f>C39</f>
        <v>0</v>
      </c>
    </row>
    <row r="110" spans="1:35" ht="14.25">
      <c r="A110" s="3303"/>
      <c r="B110" s="3304"/>
      <c r="C110" s="1881" t="s">
        <v>1853</v>
      </c>
      <c r="D110" s="1769" t="e">
        <f>I124</f>
        <v>#DIV/0!</v>
      </c>
      <c r="E110" s="1059"/>
      <c r="F110" s="3262"/>
      <c r="G110" s="3263"/>
      <c r="H110" s="3299"/>
      <c r="I110" s="3300"/>
    </row>
    <row r="111" spans="1:35" ht="28.5" customHeight="1">
      <c r="A111" s="3357" t="s">
        <v>1962</v>
      </c>
      <c r="B111" s="3358"/>
      <c r="C111" s="1882" t="str">
        <f>IF(H19="元","总额（元）","总额（万元）")</f>
        <v>总额（元）</v>
      </c>
      <c r="D111" s="1768">
        <f>IF(D37="正常操作",I107+I108+I109,I108+I109)</f>
        <v>0</v>
      </c>
      <c r="E111" s="1059"/>
      <c r="F111" s="3242" t="str">
        <f>IF(项目基本情况!F5="已注销","——","3.房地产抵押价值")</f>
        <v>3.房地产抵押价值</v>
      </c>
      <c r="G111" s="3243"/>
      <c r="H111" s="3079" t="str">
        <f>C115</f>
        <v>总价（元）</v>
      </c>
      <c r="I111" s="3068">
        <f>IF(F111="——","——",I103-I106)</f>
        <v>0</v>
      </c>
    </row>
    <row r="112" spans="1:35" ht="14.25">
      <c r="A112" s="3264" t="s">
        <v>1858</v>
      </c>
      <c r="B112" s="3265"/>
      <c r="C112" s="1882" t="str">
        <f>C111</f>
        <v>总额（元）</v>
      </c>
      <c r="D112" s="855">
        <f>IF(D37="同一抵押权人同一抵押物续贷",C37&amp;"（未扣减，详见特别提示）",C37)</f>
        <v>0</v>
      </c>
      <c r="E112" s="1059"/>
      <c r="F112" s="3244"/>
      <c r="G112" s="3245"/>
      <c r="H112" s="1881" t="s">
        <v>1853</v>
      </c>
      <c r="I112" s="3076" t="e">
        <f>D116</f>
        <v>#DIV/0!</v>
      </c>
    </row>
    <row r="113" spans="1:26" ht="15.75">
      <c r="A113" s="3264" t="s">
        <v>1859</v>
      </c>
      <c r="B113" s="3265"/>
      <c r="C113" s="1882" t="str">
        <f>C111</f>
        <v>总额（元）</v>
      </c>
      <c r="D113" s="855">
        <f>C38</f>
        <v>0</v>
      </c>
      <c r="E113" s="1059"/>
      <c r="F113" s="3242" t="str">
        <f>IF(项目基本情况!F5="已注销及未注销","4.抵押担保权已注销时的房地产抵押价值",IF(项目基本情况!F5="已注销","3.抵押担保权已注销时的房地产抵押价值","——"))</f>
        <v>——</v>
      </c>
      <c r="G113" s="3243"/>
      <c r="H113" s="3079" t="str">
        <f>C117</f>
        <v>总价（元）</v>
      </c>
      <c r="I113" s="3068" t="str">
        <f>IF(F113="——","——",I103-I108-I109)</f>
        <v>——</v>
      </c>
    </row>
    <row r="114" spans="1:26" ht="14.25">
      <c r="A114" s="3264" t="s">
        <v>1860</v>
      </c>
      <c r="B114" s="3265"/>
      <c r="C114" s="1882" t="str">
        <f>C111</f>
        <v>总额（元）</v>
      </c>
      <c r="D114" s="855">
        <f>C39</f>
        <v>0</v>
      </c>
      <c r="E114" s="1059"/>
      <c r="F114" s="3244"/>
      <c r="G114" s="3245"/>
      <c r="H114" s="1881" t="s">
        <v>1853</v>
      </c>
      <c r="I114" s="3069" t="str">
        <f>D118</f>
        <v>——</v>
      </c>
    </row>
    <row r="115" spans="1:26" ht="15.75">
      <c r="A115" s="3303" t="str">
        <f>IF(项目基本情况!F5="已注销","——","3.房地产抵押价值")</f>
        <v>3.房地产抵押价值</v>
      </c>
      <c r="B115" s="3304"/>
      <c r="C115" s="1881" t="str">
        <f>B102</f>
        <v>总价（元）</v>
      </c>
      <c r="D115" s="1768">
        <f>IF(A115="——","——",D109-D111)</f>
        <v>0</v>
      </c>
      <c r="E115" s="1059"/>
      <c r="F115" s="3242" t="str">
        <f>IF(项目基本情况!G5="抵押净值",IF(OR(项目基本情况!F5="已注销",项目基本情况!F5="房地产抵押价值"),"4.抵押净值","5.抵押净值"),"——")</f>
        <v>——</v>
      </c>
      <c r="G115" s="3243"/>
      <c r="H115" s="1881" t="str">
        <f>C119</f>
        <v>总价（元）</v>
      </c>
      <c r="I115" s="3068" t="str">
        <f>IF(F115="——","——",N60)</f>
        <v>——</v>
      </c>
    </row>
    <row r="116" spans="1:26" ht="15.75" thickBot="1">
      <c r="A116" s="3303"/>
      <c r="B116" s="3304"/>
      <c r="C116" s="1881" t="s">
        <v>1853</v>
      </c>
      <c r="D116" s="1769" t="e">
        <f>ROUND(IF(D115=D109,D110,IF(H19="元",D115/B124,D115*10000/B124)),0)</f>
        <v>#DIV/0!</v>
      </c>
      <c r="E116" s="1059"/>
      <c r="F116" s="3346"/>
      <c r="G116" s="3347"/>
      <c r="H116" s="1883" t="s">
        <v>1853</v>
      </c>
      <c r="I116" s="3078" t="str">
        <f>D120</f>
        <v>——</v>
      </c>
    </row>
    <row r="117" spans="1:26" ht="15">
      <c r="A117" s="3303" t="str">
        <f>IF(项目基本情况!F5="已注销及未注销","4.抵押担保权已注销时的房地产抵押价值",IF(项目基本情况!F5="已注销","3.抵押担保权已注销时的房地产抵押价值","——"))</f>
        <v>——</v>
      </c>
      <c r="B117" s="3304"/>
      <c r="C117" s="1881" t="str">
        <f>B102</f>
        <v>总价（元）</v>
      </c>
      <c r="D117" s="1768" t="str">
        <f>IF(A117="——","——",D109-D113-D114)</f>
        <v>——</v>
      </c>
      <c r="E117" s="1059"/>
      <c r="F117" s="3237"/>
      <c r="G117" s="3237"/>
      <c r="H117" s="3282"/>
      <c r="I117" s="3282"/>
      <c r="N117" s="1892"/>
      <c r="O117" s="1892"/>
    </row>
    <row r="118" spans="1:26" s="1226" customFormat="1" ht="14.25">
      <c r="A118" s="3303"/>
      <c r="B118" s="3304"/>
      <c r="C118" s="1881" t="s">
        <v>1853</v>
      </c>
      <c r="D118" s="1769" t="str">
        <f>IF(A117="——","——",IF(H19="元",ROUND(D117/B124,0),ROUND(D117*10000/B124,0)))</f>
        <v>——</v>
      </c>
      <c r="E118" s="1059"/>
      <c r="F118" s="3376" t="str">
        <f>IF(B32="总价","（以上估价结果中楼面单价为总价除以建筑面积得出）","（以上估价结果中总价为楼面单价乘以建筑面积得出）")</f>
        <v>（以上估价结果中总价为楼面单价乘以建筑面积得出）</v>
      </c>
      <c r="G118" s="3376"/>
      <c r="H118" s="3376"/>
      <c r="I118" s="3376"/>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303" t="str">
        <f>IF(项目基本情况!G5="抵押净值",IF(OR(项目基本情况!F5="已注销",项目基本情况!F5="房地产抵押价值"),"4.抵押净值","5.抵押净值"),"——")</f>
        <v>——</v>
      </c>
      <c r="B119" s="3304"/>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355"/>
      <c r="B120" s="3356"/>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283" t="s">
        <v>2898</v>
      </c>
      <c r="B121" s="3284"/>
      <c r="C121" s="3284"/>
      <c r="D121" s="3284"/>
      <c r="E121" s="3284"/>
      <c r="F121" s="3284"/>
      <c r="G121" s="3284"/>
      <c r="H121" s="3284"/>
      <c r="I121" s="3284"/>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54" t="s">
        <v>3</v>
      </c>
      <c r="B122" s="3252" t="s">
        <v>1882</v>
      </c>
      <c r="C122" s="3252" t="s">
        <v>698</v>
      </c>
      <c r="D122" s="3260" t="s">
        <v>211</v>
      </c>
      <c r="E122" s="3261"/>
      <c r="F122" s="3250" t="s">
        <v>680</v>
      </c>
      <c r="G122" s="3250"/>
      <c r="H122" s="3250" t="s">
        <v>4</v>
      </c>
      <c r="I122" s="3251"/>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54"/>
      <c r="B123" s="3253"/>
      <c r="C123" s="3253"/>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54" t="s">
        <v>7</v>
      </c>
      <c r="B125" s="3250"/>
      <c r="C125" s="3250"/>
      <c r="D125" s="3287" t="str">
        <f>IF(H19="元",NUMBERSTRING(INT(D124),2)&amp;"元整",NUMBERSTRING(INT(D124*10000),2)&amp;"元整")</f>
        <v>零元整</v>
      </c>
      <c r="E125" s="3288"/>
      <c r="F125" s="3287" t="str">
        <f>IF(H19="元",NUMBERSTRING(INT(F124),2)&amp;"元整",NUMBERSTRING(INT(F124*10000),2)&amp;"元整")</f>
        <v>零元整</v>
      </c>
      <c r="G125" s="3288"/>
      <c r="H125" s="3287" t="str">
        <f>IF(H19="元",NUMBERSTRING(INT(H124),2)&amp;"元整",NUMBERSTRING(INT(H124*10000),2)&amp;"元整")</f>
        <v>零元整</v>
      </c>
      <c r="I125" s="3363"/>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89" t="str">
        <f>MID(A111,3,LEN(A111)-2)</f>
        <v>估价师所知悉的法定优先受偿款</v>
      </c>
      <c r="B126" s="3290"/>
      <c r="C126" s="3291"/>
      <c r="D126" s="3348">
        <f>I106</f>
        <v>0</v>
      </c>
      <c r="E126" s="3349"/>
      <c r="F126" s="3349"/>
      <c r="G126" s="3349"/>
      <c r="H126" s="3349"/>
      <c r="I126" s="3350"/>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92" t="s">
        <v>7</v>
      </c>
      <c r="B127" s="3293"/>
      <c r="C127" s="3294"/>
      <c r="D127" s="3351">
        <f>H110</f>
        <v>0</v>
      </c>
      <c r="E127" s="3352"/>
      <c r="F127" s="3352"/>
      <c r="G127" s="3352"/>
      <c r="H127" s="3352"/>
      <c r="I127" s="3353"/>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78" t="str">
        <f>MID(A115,3,LEN(A115)-2)</f>
        <v>房地产抵押价值</v>
      </c>
      <c r="B128" s="3279"/>
      <c r="C128" s="3279"/>
      <c r="D128" s="3348">
        <f>I111</f>
        <v>0</v>
      </c>
      <c r="E128" s="3349"/>
      <c r="F128" s="3349"/>
      <c r="G128" s="3349"/>
      <c r="H128" s="3349"/>
      <c r="I128" s="3350"/>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54" t="s">
        <v>7</v>
      </c>
      <c r="B129" s="3250"/>
      <c r="C129" s="3250"/>
      <c r="D129" s="3351" t="e">
        <f>I112</f>
        <v>#DIV/0!</v>
      </c>
      <c r="E129" s="3352"/>
      <c r="F129" s="3352"/>
      <c r="G129" s="3352"/>
      <c r="H129" s="3352"/>
      <c r="I129" s="3353"/>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78" t="str">
        <f>MID(A117,3,LEN(A117)-2)</f>
        <v/>
      </c>
      <c r="B130" s="3279"/>
      <c r="C130" s="3279"/>
      <c r="D130" s="3232" t="str">
        <f>I113</f>
        <v>——</v>
      </c>
      <c r="E130" s="3233"/>
      <c r="F130" s="3233"/>
      <c r="G130" s="3233"/>
      <c r="H130" s="3233"/>
      <c r="I130" s="3234"/>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54" t="s">
        <v>7</v>
      </c>
      <c r="B131" s="3250"/>
      <c r="C131" s="3343"/>
      <c r="D131" s="3281" t="str">
        <f>I114</f>
        <v>——</v>
      </c>
      <c r="E131" s="3281"/>
      <c r="F131" s="3281"/>
      <c r="G131" s="3281"/>
      <c r="H131" s="3281"/>
      <c r="I131" s="3281"/>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78" t="str">
        <f>MID(F115,3,LEN(F115)-2)</f>
        <v/>
      </c>
      <c r="B132" s="3279"/>
      <c r="C132" s="3280"/>
      <c r="D132" s="3354" t="str">
        <f>I115</f>
        <v>——</v>
      </c>
      <c r="E132" s="3354"/>
      <c r="F132" s="3354"/>
      <c r="G132" s="3354"/>
      <c r="H132" s="3354"/>
      <c r="I132" s="3354"/>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59" t="s">
        <v>7</v>
      </c>
      <c r="B133" s="3360"/>
      <c r="C133" s="3360"/>
      <c r="D133" s="3364">
        <f>H117</f>
        <v>0</v>
      </c>
      <c r="E133" s="3365"/>
      <c r="F133" s="3365"/>
      <c r="G133" s="3365"/>
      <c r="H133" s="3365"/>
      <c r="I133" s="3366"/>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41" t="str">
        <f>IF(B32="总价","（以上估价结果中楼面单价为总价除以建筑面积得出）","（以上估价结果中总价为楼面单价乘以建筑面积得出）")</f>
        <v>（以上估价结果中总价为楼面单价乘以建筑面积得出）</v>
      </c>
      <c r="B135" s="3341"/>
      <c r="C135" s="3341"/>
      <c r="D135" s="3341"/>
      <c r="E135" s="3341"/>
      <c r="F135" s="3341"/>
      <c r="G135" s="3341"/>
      <c r="H135" s="3341"/>
      <c r="I135" s="3341"/>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1743490</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21769</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6407</v>
      </c>
      <c r="D9" s="2646">
        <f>IF('数据-取费表'!B10="住宅",IF(B1="仅计算典型户型",'数据-取费表'!E5,'数据-取费表'!B5),0)</f>
        <v>80.09</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16018</v>
      </c>
      <c r="D19" s="2649">
        <f>IF(B1="仅计算典型户型",'数据-取费表'!E5,'数据-取费表'!B5)</f>
        <v>80.09</v>
      </c>
      <c r="E19" s="412">
        <f>'数据-取费表'!E15</f>
        <v>200</v>
      </c>
      <c r="F19" s="413"/>
      <c r="G19" s="31"/>
    </row>
    <row r="20" spans="1:7" s="392" customFormat="1" ht="13.5" customHeight="1">
      <c r="A20" s="421" t="s">
        <v>2248</v>
      </c>
      <c r="B20" s="390" t="s">
        <v>750</v>
      </c>
      <c r="C20" s="400">
        <f>ROUND((C5+C19)*F20,0)</f>
        <v>10465</v>
      </c>
      <c r="D20" s="400"/>
      <c r="E20" s="400"/>
      <c r="F20" s="404">
        <f>'数据-取费表'!E25</f>
        <v>0.01</v>
      </c>
      <c r="G20" s="2438" t="s">
        <v>2432</v>
      </c>
    </row>
    <row r="21" spans="1:7" s="392" customFormat="1" ht="13.5" customHeight="1">
      <c r="A21" s="421" t="s">
        <v>2249</v>
      </c>
      <c r="B21" s="390" t="s">
        <v>751</v>
      </c>
      <c r="C21" s="402">
        <f>F21</f>
        <v>0.01</v>
      </c>
      <c r="D21" s="403" t="s">
        <v>767</v>
      </c>
      <c r="E21" s="400"/>
      <c r="F21" s="404">
        <f>'数据-取费表'!E26</f>
        <v>0.01</v>
      </c>
      <c r="G21" s="401" t="s">
        <v>752</v>
      </c>
    </row>
    <row r="22" spans="1:7" s="392" customFormat="1" ht="13.5" customHeight="1">
      <c r="A22" s="421" t="s">
        <v>2250</v>
      </c>
      <c r="B22" s="390" t="s">
        <v>753</v>
      </c>
      <c r="C22" s="422">
        <f ca="1">ROUND(SUM(C23:C25),0)</f>
        <v>75814</v>
      </c>
      <c r="D22" s="402">
        <f ca="1">C26</f>
        <v>4.0000000000000002E-4</v>
      </c>
      <c r="E22" s="403" t="s">
        <v>767</v>
      </c>
      <c r="F22" s="404">
        <f ca="1">'数据-取费表'!E27</f>
        <v>4.7500000000000001E-2</v>
      </c>
      <c r="G22" s="2438" t="str">
        <f>IF('数据-取费表'!B23&lt;=1,"单利计息。","复利计息。")</f>
        <v>复利计息。</v>
      </c>
    </row>
    <row r="23" spans="1:7" s="392" customFormat="1" ht="13.5" customHeight="1">
      <c r="A23" s="393" t="s">
        <v>2257</v>
      </c>
      <c r="B23" s="394" t="s">
        <v>2428</v>
      </c>
      <c r="C23" s="2529">
        <f ca="1">ROUND(IF('数据-取费表'!B23&lt;=1,C5*F22*'数据-取费表'!B24,C5*(POWER((1+F22),'数据-取费表'!B24)-1)),0)</f>
        <v>74288</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1155</v>
      </c>
      <c r="D24" s="405"/>
      <c r="E24" s="405"/>
      <c r="F24" s="406"/>
      <c r="G24" s="407" t="s">
        <v>755</v>
      </c>
    </row>
    <row r="25" spans="1:7" s="392" customFormat="1" ht="24">
      <c r="A25" s="393" t="s">
        <v>2259</v>
      </c>
      <c r="B25" s="394" t="s">
        <v>2430</v>
      </c>
      <c r="C25" s="2529">
        <f ca="1">ROUND(IF('数据-取费表'!B23&lt;=1,C20*F22*'数据-取费表'!B24/2,C20*(POWER((1+F22),'数据-取费表'!B24/2)-1)),0)</f>
        <v>371</v>
      </c>
      <c r="D25" s="405"/>
      <c r="E25" s="408"/>
      <c r="F25" s="406"/>
      <c r="G25" s="409" t="s">
        <v>756</v>
      </c>
    </row>
    <row r="26" spans="1:7" s="392" customFormat="1">
      <c r="A26" s="393" t="s">
        <v>2260</v>
      </c>
      <c r="B26" s="394" t="s">
        <v>2431</v>
      </c>
      <c r="C26" s="405">
        <f ca="1">ROUND(IF('数据-取费表'!B23&lt;=1,F21*F22*'数据-取费表'!B24/2,F21*(POWER((1+F22),'数据-取费表'!B24/2)-1)),4)</f>
        <v>4.0000000000000002E-4</v>
      </c>
      <c r="D26" s="405"/>
      <c r="E26" s="408"/>
      <c r="F26" s="406"/>
      <c r="G26" s="410"/>
    </row>
    <row r="27" spans="1:7" s="392" customFormat="1" ht="25.5">
      <c r="A27" s="2287" t="s">
        <v>2251</v>
      </c>
      <c r="B27" s="411" t="s">
        <v>757</v>
      </c>
      <c r="C27" s="412">
        <f>C28</f>
        <v>211397</v>
      </c>
      <c r="D27" s="402">
        <f>C29</f>
        <v>2E-3</v>
      </c>
      <c r="E27" s="403" t="s">
        <v>767</v>
      </c>
      <c r="F27" s="413">
        <f>'数据-取费表'!E28</f>
        <v>0.2</v>
      </c>
      <c r="G27" s="414" t="s">
        <v>2433</v>
      </c>
    </row>
    <row r="28" spans="1:7" s="392" customFormat="1" ht="13.5" customHeight="1">
      <c r="A28" s="393" t="s">
        <v>2257</v>
      </c>
      <c r="B28" s="415" t="s">
        <v>2435</v>
      </c>
      <c r="C28" s="416">
        <f>ROUND((C5+C19+C20)*F27*'数据-取费表'!B22/'数据-取费表'!B21,0)</f>
        <v>211397</v>
      </c>
      <c r="D28" s="402"/>
      <c r="E28" s="403"/>
      <c r="F28" s="413"/>
      <c r="G28" s="414"/>
    </row>
    <row r="29" spans="1:7" s="392" customFormat="1" ht="13.5" customHeight="1">
      <c r="A29" s="393" t="s">
        <v>2258</v>
      </c>
      <c r="B29" s="415" t="s">
        <v>2436</v>
      </c>
      <c r="C29" s="405">
        <f>ROUND(C21*F27*'数据-取费表'!B22/'数据-取费表'!B21,4)</f>
        <v>2E-3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1438718</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235264</v>
      </c>
      <c r="D33" s="400"/>
      <c r="E33" s="2640"/>
      <c r="F33" s="408"/>
      <c r="G33" s="401"/>
    </row>
    <row r="34" spans="1:7" s="423" customFormat="1" ht="13.5" customHeight="1">
      <c r="A34" s="393" t="s">
        <v>2257</v>
      </c>
      <c r="B34" s="394" t="s">
        <v>363</v>
      </c>
      <c r="C34" s="416">
        <f>IF(B1="仅计算典型户型",'数据-取费表'!F18,'数据-取费表'!E18)</f>
        <v>200225</v>
      </c>
      <c r="D34" s="2641"/>
      <c r="E34" s="416"/>
      <c r="F34" s="2652" t="str">
        <f>IF('数据-取费表'!B25=0,"",'数据-取费表'!E20)</f>
        <v/>
      </c>
      <c r="G34" s="396"/>
    </row>
    <row r="35" spans="1:7" ht="13.5" customHeight="1">
      <c r="A35" s="393" t="s">
        <v>2258</v>
      </c>
      <c r="B35" s="394" t="s">
        <v>364</v>
      </c>
      <c r="C35" s="416">
        <f>ROUND(C34*F35,0)</f>
        <v>6007</v>
      </c>
      <c r="D35" s="416"/>
      <c r="E35" s="416"/>
      <c r="F35" s="2653">
        <f>'数据-取费表'!E21</f>
        <v>0.03</v>
      </c>
      <c r="G35" s="396" t="s">
        <v>760</v>
      </c>
    </row>
    <row r="36" spans="1:7" ht="24">
      <c r="A36" s="393" t="s">
        <v>2259</v>
      </c>
      <c r="B36" s="394" t="s">
        <v>365</v>
      </c>
      <c r="C36" s="416">
        <f>ROUND(IF('数据-取费表'!B10="住宅",C34*F36,0),0)</f>
        <v>10011</v>
      </c>
      <c r="D36" s="416"/>
      <c r="E36" s="416"/>
      <c r="F36" s="2653">
        <f>'数据-取费表'!E22</f>
        <v>0.05</v>
      </c>
      <c r="G36" s="424" t="s">
        <v>366</v>
      </c>
    </row>
    <row r="37" spans="1:7" s="423" customFormat="1" ht="13.5" customHeight="1">
      <c r="A37" s="393" t="s">
        <v>2260</v>
      </c>
      <c r="B37" s="394" t="s">
        <v>761</v>
      </c>
      <c r="C37" s="416">
        <f>ROUND(E37*D37,0)</f>
        <v>16018</v>
      </c>
      <c r="D37" s="2641">
        <f>IF(B1="仅计算典型户型",'数据-取费表'!E5,'数据-取费表'!B5)</f>
        <v>80.09</v>
      </c>
      <c r="E37" s="416">
        <f>'数据-取费表'!E23</f>
        <v>200</v>
      </c>
      <c r="F37" s="2653"/>
      <c r="G37" s="425" t="s">
        <v>762</v>
      </c>
    </row>
    <row r="38" spans="1:7" ht="13.5" customHeight="1">
      <c r="A38" s="393" t="s">
        <v>2261</v>
      </c>
      <c r="B38" s="394" t="s">
        <v>367</v>
      </c>
      <c r="C38" s="416">
        <f>ROUND(C34*F38,0)</f>
        <v>3003</v>
      </c>
      <c r="D38" s="416"/>
      <c r="E38" s="416"/>
      <c r="F38" s="2653">
        <f>'数据-取费表'!E24</f>
        <v>1.4999999999999999E-2</v>
      </c>
      <c r="G38" s="396" t="s">
        <v>760</v>
      </c>
    </row>
    <row r="39" spans="1:7" s="392" customFormat="1" ht="13.5" customHeight="1">
      <c r="A39" s="421" t="s">
        <v>2247</v>
      </c>
      <c r="B39" s="390" t="s">
        <v>750</v>
      </c>
      <c r="C39" s="400">
        <f>ROUND(C33*F20,0)</f>
        <v>2353</v>
      </c>
      <c r="D39" s="400"/>
      <c r="E39" s="400"/>
      <c r="F39" s="404"/>
      <c r="G39" s="2438" t="s">
        <v>2439</v>
      </c>
    </row>
    <row r="40" spans="1:7" s="392" customFormat="1" ht="13.5" customHeight="1">
      <c r="A40" s="421" t="s">
        <v>2248</v>
      </c>
      <c r="B40" s="390" t="s">
        <v>751</v>
      </c>
      <c r="C40" s="3003">
        <f>F21</f>
        <v>0.01</v>
      </c>
      <c r="D40" s="403" t="s">
        <v>769</v>
      </c>
      <c r="E40" s="400"/>
      <c r="F40" s="404"/>
      <c r="G40" s="401" t="s">
        <v>763</v>
      </c>
    </row>
    <row r="41" spans="1:7" s="392" customFormat="1" ht="13.5" customHeight="1">
      <c r="A41" s="421" t="s">
        <v>2249</v>
      </c>
      <c r="B41" s="390" t="s">
        <v>753</v>
      </c>
      <c r="C41" s="400">
        <f ca="1">ROUND(SUM(C42:C43),0)</f>
        <v>8415</v>
      </c>
      <c r="D41" s="402">
        <f ca="1">C44</f>
        <v>4.0000000000000002E-4</v>
      </c>
      <c r="E41" s="403" t="s">
        <v>769</v>
      </c>
      <c r="F41" s="404"/>
      <c r="G41" s="2438" t="str">
        <f>IF('数据-取费表'!B23&lt;=1,"单利计息。","复利计息。")</f>
        <v>复利计息。</v>
      </c>
    </row>
    <row r="42" spans="1:7" ht="13.5" customHeight="1">
      <c r="A42" s="393" t="s">
        <v>2257</v>
      </c>
      <c r="B42" s="394" t="s">
        <v>2428</v>
      </c>
      <c r="C42" s="405">
        <f ca="1">ROUND(IF('数据-取费表'!B23&lt;=1,C33*F22*'数据-取费表'!B22/2,C33*(POWER((1+F22),'数据-取费表'!B22/2)-1)),0)</f>
        <v>8332</v>
      </c>
      <c r="D42" s="405"/>
      <c r="E42" s="405"/>
      <c r="F42" s="406"/>
      <c r="G42" s="3379" t="s">
        <v>2522</v>
      </c>
    </row>
    <row r="43" spans="1:7" ht="13.5" customHeight="1">
      <c r="A43" s="393" t="s">
        <v>2258</v>
      </c>
      <c r="B43" s="394" t="s">
        <v>2429</v>
      </c>
      <c r="C43" s="405">
        <f ca="1">ROUND(IF('数据-取费表'!B23&lt;=1,C39*F22*'数据-取费表'!B22/2,C39*(POWER((1+F22),'数据-取费表'!B22/2)-1)),0)</f>
        <v>83</v>
      </c>
      <c r="D43" s="405"/>
      <c r="E43" s="405"/>
      <c r="F43" s="406"/>
      <c r="G43" s="3380"/>
    </row>
    <row r="44" spans="1:7" ht="13.5" customHeight="1">
      <c r="A44" s="393" t="s">
        <v>2259</v>
      </c>
      <c r="B44" s="394" t="s">
        <v>2430</v>
      </c>
      <c r="C44" s="405">
        <f ca="1">ROUND(IF('数据-取费表'!B23&lt;=1,C40*F22*'数据-取费表'!B22/2,C40*(POWER((1+F22),'数据-取费表'!B22/2)-1)),4)</f>
        <v>4.0000000000000002E-4</v>
      </c>
      <c r="D44" s="405"/>
      <c r="E44" s="405"/>
      <c r="F44" s="406"/>
      <c r="G44" s="3381"/>
    </row>
    <row r="45" spans="1:7" s="392" customFormat="1" ht="13.5" customHeight="1">
      <c r="A45" s="421" t="s">
        <v>2250</v>
      </c>
      <c r="B45" s="411" t="s">
        <v>757</v>
      </c>
      <c r="C45" s="412">
        <f>C46</f>
        <v>47523</v>
      </c>
      <c r="D45" s="402">
        <f>C47</f>
        <v>2E-3</v>
      </c>
      <c r="E45" s="403" t="s">
        <v>769</v>
      </c>
      <c r="F45" s="413"/>
      <c r="G45" s="414" t="s">
        <v>2440</v>
      </c>
    </row>
    <row r="46" spans="1:7" s="392" customFormat="1" ht="13.5" customHeight="1">
      <c r="A46" s="393" t="s">
        <v>2257</v>
      </c>
      <c r="B46" s="415" t="s">
        <v>2437</v>
      </c>
      <c r="C46" s="416">
        <f>ROUND((C33+C39)*F27,0)</f>
        <v>47523</v>
      </c>
      <c r="D46" s="426"/>
      <c r="E46" s="403"/>
      <c r="F46" s="413"/>
      <c r="G46" s="414"/>
    </row>
    <row r="47" spans="1:7" s="392" customFormat="1" ht="13.5" customHeight="1">
      <c r="A47" s="393" t="s">
        <v>2258</v>
      </c>
      <c r="B47" s="415" t="s">
        <v>2438</v>
      </c>
      <c r="C47" s="405">
        <f>ROUND(C40*F27,4)</f>
        <v>2E-3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314198</v>
      </c>
      <c r="D49" s="400"/>
      <c r="E49" s="400"/>
      <c r="F49" s="427"/>
      <c r="G49" s="2438" t="s">
        <v>2441</v>
      </c>
    </row>
    <row r="50" spans="1:7" s="423" customFormat="1" ht="24">
      <c r="A50" s="2287" t="s">
        <v>2255</v>
      </c>
      <c r="B50" s="390" t="s">
        <v>765</v>
      </c>
      <c r="C50" s="400"/>
      <c r="D50" s="400"/>
      <c r="E50" s="400"/>
      <c r="F50" s="427">
        <f>IF('数据-取费表'!B25=0,'数据-取费表'!E20,1)</f>
        <v>0.97</v>
      </c>
      <c r="G50" s="414" t="s">
        <v>766</v>
      </c>
    </row>
    <row r="51" spans="1:7" ht="16.5" customHeight="1">
      <c r="A51" s="2287" t="s">
        <v>2256</v>
      </c>
      <c r="B51" s="390" t="s">
        <v>1851</v>
      </c>
      <c r="C51" s="400">
        <f ca="1">ROUND(C49*F50,0)</f>
        <v>304772</v>
      </c>
      <c r="D51" s="400"/>
      <c r="E51" s="400"/>
      <c r="F51" s="427"/>
      <c r="G51" s="401" t="s">
        <v>368</v>
      </c>
    </row>
    <row r="52" spans="1:7" s="389" customFormat="1" ht="16.5" thickBot="1">
      <c r="A52" s="428" t="s">
        <v>369</v>
      </c>
      <c r="B52" s="429"/>
      <c r="C52" s="430">
        <f ca="1">C31+C51</f>
        <v>1743490</v>
      </c>
      <c r="D52" s="429"/>
      <c r="E52" s="429"/>
      <c r="F52" s="429"/>
      <c r="G52" s="431"/>
    </row>
    <row r="55" spans="1:7" ht="15">
      <c r="B55" s="433" t="s">
        <v>370</v>
      </c>
      <c r="C55" s="434"/>
    </row>
    <row r="56" spans="1:7">
      <c r="B56" s="436" t="s">
        <v>371</v>
      </c>
      <c r="C56" s="437">
        <f ca="1">ROUND(C51/C52,3)</f>
        <v>0.17499999999999999</v>
      </c>
    </row>
    <row r="57" spans="1:7">
      <c r="B57" s="436" t="s">
        <v>372</v>
      </c>
      <c r="C57" s="438">
        <f ca="1">1-C56</f>
        <v>0.82499999999999996</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3.0000000000000027E-2</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0.01</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0.01</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0.20580000000000001</v>
      </c>
      <c r="E28" s="490" t="s">
        <v>35</v>
      </c>
      <c r="F28" s="501">
        <f>'数据-取费表'!E28</f>
        <v>0.2</v>
      </c>
      <c r="G28" s="486"/>
      <c r="H28" s="487"/>
      <c r="I28" s="487"/>
      <c r="J28" s="487"/>
      <c r="K28" s="488"/>
    </row>
    <row r="29" spans="1:33" s="505" customFormat="1" ht="13.5" customHeight="1">
      <c r="A29" s="2291" t="s">
        <v>2267</v>
      </c>
      <c r="B29" s="503" t="s">
        <v>809</v>
      </c>
      <c r="C29" s="494">
        <f>ROUND((1+C24)*F28,4)</f>
        <v>0.20580000000000001</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3" zoomScale="90" zoomScaleNormal="90" zoomScaleSheetLayoutView="100" workbookViewId="0">
      <selection activeCell="D45" sqref="D45"/>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731440</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9133</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20430</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20400</v>
      </c>
      <c r="D6" s="2453" t="s">
        <v>2451</v>
      </c>
      <c r="E6" s="537" t="s">
        <v>826</v>
      </c>
      <c r="F6" s="538">
        <f>'数据-取费表'!B29</f>
        <v>2000</v>
      </c>
      <c r="G6" s="2156"/>
      <c r="H6" s="2447" t="s">
        <v>2515</v>
      </c>
      <c r="I6" s="1815" t="s">
        <v>2512</v>
      </c>
      <c r="J6" s="536">
        <f>ROUND(M6*M8*M7*(1-M9),0)</f>
        <v>0</v>
      </c>
      <c r="K6" s="297" t="s">
        <v>825</v>
      </c>
      <c r="L6" s="537" t="s">
        <v>826</v>
      </c>
      <c r="M6" s="538">
        <f>'数据-取费表'!B36</f>
        <v>0</v>
      </c>
    </row>
    <row r="7" spans="1:37" ht="16.5"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5"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0.15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30</v>
      </c>
      <c r="D10" s="2448" t="s">
        <v>2449</v>
      </c>
      <c r="E10" s="2443" t="s">
        <v>2450</v>
      </c>
      <c r="F10" s="2451" t="s">
        <v>2903</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304772</v>
      </c>
      <c r="D13" s="2492" t="s">
        <v>831</v>
      </c>
      <c r="E13" s="2492" t="s">
        <v>832</v>
      </c>
      <c r="F13" s="2493">
        <f>'数据-取费表'!E20</f>
        <v>0.97</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200225</v>
      </c>
      <c r="D14" s="2439" t="s">
        <v>833</v>
      </c>
      <c r="E14" s="2440"/>
      <c r="F14" s="1635"/>
      <c r="G14" s="2157"/>
      <c r="H14" s="555" t="s">
        <v>2231</v>
      </c>
      <c r="I14" s="537" t="s">
        <v>834</v>
      </c>
      <c r="J14" s="197">
        <f ca="1">C29</f>
        <v>314198</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6007</v>
      </c>
      <c r="D15" s="557" t="s">
        <v>835</v>
      </c>
      <c r="E15" s="557" t="s">
        <v>836</v>
      </c>
      <c r="F15" s="558">
        <f>'数据-取费表'!E21</f>
        <v>0.03</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10011</v>
      </c>
      <c r="D16" s="537" t="s">
        <v>835</v>
      </c>
      <c r="E16" s="537" t="s">
        <v>836</v>
      </c>
      <c r="F16" s="560">
        <f>IF('数据-取费表'!B10="住宅",'数据-取费表'!E22,0)</f>
        <v>0.05</v>
      </c>
      <c r="G16" s="2157"/>
      <c r="H16" s="2490" t="s">
        <v>38</v>
      </c>
      <c r="I16" s="2491" t="s">
        <v>837</v>
      </c>
      <c r="J16" s="545">
        <f ca="1">ROUND(J17+J22+J23+J24,0)</f>
        <v>3142</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16018</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3003</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235264</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2353</v>
      </c>
      <c r="D20" s="562" t="s">
        <v>847</v>
      </c>
      <c r="E20" s="537" t="s">
        <v>836</v>
      </c>
      <c r="F20" s="560">
        <f>'数据-取费表'!E25</f>
        <v>0.01</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0.01</v>
      </c>
      <c r="D21" s="562" t="s">
        <v>852</v>
      </c>
      <c r="E21" s="537" t="s">
        <v>853</v>
      </c>
      <c r="F21" s="560">
        <f>'数据-取费表'!E26</f>
        <v>0.01</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复利计息。建造成本、管理费用、销售费用产生的利息。</v>
      </c>
      <c r="E22" s="2442"/>
      <c r="F22" s="199"/>
      <c r="G22" s="2156"/>
      <c r="H22" s="555" t="s">
        <v>2238</v>
      </c>
      <c r="I22" s="537" t="s">
        <v>856</v>
      </c>
      <c r="J22" s="197">
        <f ca="1">ROUND(J14*M22,0)</f>
        <v>3142</v>
      </c>
      <c r="K22" s="2070" t="s">
        <v>857</v>
      </c>
      <c r="L22" s="537" t="s">
        <v>836</v>
      </c>
      <c r="M22" s="568">
        <f>'数据-取费表'!B44</f>
        <v>0.01</v>
      </c>
    </row>
    <row r="23" spans="1:37" ht="18" customHeight="1">
      <c r="A23" s="555" t="s">
        <v>2239</v>
      </c>
      <c r="B23" s="537" t="s">
        <v>2444</v>
      </c>
      <c r="C23" s="197">
        <f ca="1">IF('数据-取费表'!B23&lt;=1,ROUND(C19*F24*F23/2,0)+ROUND(C20*F24*F23/2,0),ROUND(C19*(POWER((1+F24),F23/2)-1),0)+ROUND(C20*(POWER((1+F24),F23/2)-1),0))</f>
        <v>8415</v>
      </c>
      <c r="D23" s="1660" t="str">
        <f>IF(F23&lt;=1,"(建造成本+管理费用)×利率×(建设周期÷2)","(建造成本+管理费用)×((1+利率)^(建设周期÷2)-1)")</f>
        <v>(建造成本+管理费用)×((1+利率)^(建设周期÷2)-1)</v>
      </c>
      <c r="E23" s="537" t="s">
        <v>858</v>
      </c>
      <c r="F23" s="565">
        <f>'数据-取费表'!B21</f>
        <v>1.5</v>
      </c>
      <c r="G23" s="2156"/>
      <c r="H23" s="555" t="s">
        <v>2232</v>
      </c>
      <c r="I23" s="537" t="s">
        <v>382</v>
      </c>
      <c r="J23" s="197">
        <f ca="1">ROUND(J13*M23,0)</f>
        <v>0</v>
      </c>
      <c r="K23" s="2070" t="s">
        <v>859</v>
      </c>
      <c r="L23" s="537" t="s">
        <v>836</v>
      </c>
      <c r="M23" s="569">
        <f>'数据-取费表'!B45</f>
        <v>1.5E-3</v>
      </c>
    </row>
    <row r="24" spans="1:37" s="559" customFormat="1" ht="18" customHeight="1" thickBot="1">
      <c r="A24" s="555" t="s">
        <v>2244</v>
      </c>
      <c r="B24" s="537" t="s">
        <v>860</v>
      </c>
      <c r="C24" s="197">
        <f ca="1">ROUND(IF('数据-取费表'!B23&lt;=1,F21*F24*F23/2,F21*(POWER((1+F24),F23/2)-1)),4)</f>
        <v>4.0000000000000002E-4</v>
      </c>
      <c r="D24" s="1660" t="str">
        <f>IF(F23&lt;=1,"销售费用×利率×(建设周期÷2)","销售费用×((1+利率)^(建设周期÷2)-1)")</f>
        <v>销售费用×((1+利率)^(建设周期÷2)-1)</v>
      </c>
      <c r="E24" s="537" t="s">
        <v>861</v>
      </c>
      <c r="F24" s="570">
        <f ca="1">'数据-取费表'!E27</f>
        <v>4.7500000000000001E-2</v>
      </c>
      <c r="G24" s="2157"/>
      <c r="H24" s="2502" t="s">
        <v>2233</v>
      </c>
      <c r="I24" s="2503" t="s">
        <v>381</v>
      </c>
      <c r="J24" s="2504">
        <f ca="1">ROUND(J5*M24,0)</f>
        <v>0</v>
      </c>
      <c r="K24" s="2505" t="s">
        <v>862</v>
      </c>
      <c r="L24" s="2503" t="s">
        <v>836</v>
      </c>
      <c r="M24" s="2498">
        <f>'数据-取费表'!B46</f>
        <v>0.01</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-3142</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47523</v>
      </c>
      <c r="D26" s="562" t="s">
        <v>866</v>
      </c>
      <c r="E26" s="548" t="s">
        <v>867</v>
      </c>
      <c r="F26" s="547">
        <f>'数据-取费表'!E28</f>
        <v>0.2</v>
      </c>
      <c r="G26" s="1268"/>
      <c r="H26" s="534" t="s">
        <v>47</v>
      </c>
      <c r="I26" s="535" t="s">
        <v>868</v>
      </c>
      <c r="J26" s="536">
        <f ca="1">IF(J5&lt;&gt;0,ROUND(J25*(1-((1+M28)/(1+M26))^M27)/(M26-M28),0),0)</f>
        <v>0</v>
      </c>
      <c r="K26" s="564" t="s">
        <v>869</v>
      </c>
      <c r="L26" s="537" t="s">
        <v>877</v>
      </c>
      <c r="M26" s="547">
        <f>'数据-取费表'!B16</f>
        <v>0.04</v>
      </c>
    </row>
    <row r="27" spans="1:37" ht="18" customHeight="1">
      <c r="A27" s="555" t="s">
        <v>2244</v>
      </c>
      <c r="B27" s="537" t="s">
        <v>389</v>
      </c>
      <c r="C27" s="197">
        <f>ROUND(F21*F26,4)</f>
        <v>2E-3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314198</v>
      </c>
      <c r="D29" s="2505"/>
      <c r="E29" s="2503"/>
      <c r="F29" s="2506"/>
      <c r="G29" s="1268"/>
      <c r="H29" s="574" t="s">
        <v>48</v>
      </c>
      <c r="I29" s="575" t="s">
        <v>872</v>
      </c>
      <c r="J29" s="576">
        <f ca="1">ROUND(J26/(1+F40)^F41,0)</f>
        <v>0</v>
      </c>
      <c r="K29" s="577" t="s">
        <v>873</v>
      </c>
      <c r="L29" s="578"/>
      <c r="M29" s="579">
        <f>IF(D1="仅计算典型户型",'数据-取费表'!E5,'数据-取费表'!B5)</f>
        <v>80.09</v>
      </c>
    </row>
    <row r="30" spans="1:37" ht="18" customHeight="1" thickTop="1">
      <c r="A30" s="2490" t="s">
        <v>38</v>
      </c>
      <c r="B30" s="2491" t="s">
        <v>837</v>
      </c>
      <c r="C30" s="545">
        <f ca="1">ROUND(C31+C36+C37+C38,0)</f>
        <v>4825</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1021.5</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24382</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3142</v>
      </c>
      <c r="D36" s="2441" t="s">
        <v>888</v>
      </c>
      <c r="E36" s="537" t="s">
        <v>889</v>
      </c>
      <c r="F36" s="568">
        <f>'数据-取费表'!B44</f>
        <v>0.01</v>
      </c>
      <c r="G36" s="1268"/>
      <c r="H36" s="2148"/>
      <c r="I36" s="587" t="s">
        <v>890</v>
      </c>
      <c r="J36" s="588"/>
      <c r="K36" s="2152"/>
      <c r="L36" s="2148"/>
      <c r="M36" s="2148"/>
    </row>
    <row r="37" spans="1:18" ht="18" customHeight="1">
      <c r="A37" s="555" t="s">
        <v>2232</v>
      </c>
      <c r="B37" s="537" t="s">
        <v>382</v>
      </c>
      <c r="C37" s="197">
        <f ca="1">ROUND(C13*F37,0)</f>
        <v>457</v>
      </c>
      <c r="D37" s="2441" t="s">
        <v>383</v>
      </c>
      <c r="E37" s="537" t="s">
        <v>384</v>
      </c>
      <c r="F37" s="569">
        <f>'数据-取费表'!B45</f>
        <v>1.5E-3</v>
      </c>
      <c r="G37" s="1268"/>
      <c r="H37" s="2148"/>
      <c r="I37" s="433" t="s">
        <v>874</v>
      </c>
      <c r="J37" s="589"/>
      <c r="K37" s="2152"/>
      <c r="L37" s="2148"/>
      <c r="M37" s="2148"/>
    </row>
    <row r="38" spans="1:18" ht="18" customHeight="1" thickBot="1">
      <c r="A38" s="2502" t="s">
        <v>2233</v>
      </c>
      <c r="B38" s="2503" t="s">
        <v>381</v>
      </c>
      <c r="C38" s="2504">
        <f ca="1">ROUND(C5*F38,0)</f>
        <v>204</v>
      </c>
      <c r="D38" s="2505" t="s">
        <v>385</v>
      </c>
      <c r="E38" s="2503" t="s">
        <v>384</v>
      </c>
      <c r="F38" s="2498">
        <f>'数据-取费表'!B46</f>
        <v>0.01</v>
      </c>
      <c r="G38" s="1268"/>
      <c r="H38" s="2148"/>
      <c r="I38" s="583" t="s">
        <v>875</v>
      </c>
      <c r="J38" s="437">
        <f ca="1">ROUND(J34/C39,3)</f>
        <v>1.5620000000000001</v>
      </c>
      <c r="K38" s="2153"/>
      <c r="L38" s="2148"/>
      <c r="M38" s="2148"/>
    </row>
    <row r="39" spans="1:18" ht="18" customHeight="1" thickTop="1">
      <c r="A39" s="2490" t="s">
        <v>46</v>
      </c>
      <c r="B39" s="2507" t="s">
        <v>391</v>
      </c>
      <c r="C39" s="545">
        <f ca="1">C5-C30</f>
        <v>15605</v>
      </c>
      <c r="D39" s="2508" t="s">
        <v>392</v>
      </c>
      <c r="E39" s="2509"/>
      <c r="F39" s="2510"/>
      <c r="G39" s="1268"/>
      <c r="H39" s="2148"/>
      <c r="I39" s="583" t="s">
        <v>876</v>
      </c>
      <c r="J39" s="437">
        <f ca="1">1-J38</f>
        <v>-0.56200000000000006</v>
      </c>
      <c r="K39" s="2153"/>
      <c r="L39" s="2148"/>
      <c r="M39" s="2148"/>
    </row>
    <row r="40" spans="1:18" s="1268" customFormat="1" ht="18" customHeight="1">
      <c r="A40" s="534" t="s">
        <v>47</v>
      </c>
      <c r="B40" s="535" t="s">
        <v>393</v>
      </c>
      <c r="C40" s="536">
        <f ca="1">ROUND(C39*(1-((1+F42)/(1+F40))^F41)/(F40-F42),0)</f>
        <v>731440</v>
      </c>
      <c r="D40" s="564" t="s">
        <v>387</v>
      </c>
      <c r="E40" s="537" t="s">
        <v>388</v>
      </c>
      <c r="F40" s="547">
        <f>'数据-取费表'!B16</f>
        <v>0.04</v>
      </c>
      <c r="H40" s="2154"/>
      <c r="I40" s="433" t="s">
        <v>401</v>
      </c>
      <c r="J40" s="434"/>
      <c r="K40" s="2153"/>
      <c r="L40" s="2154"/>
      <c r="M40" s="2154"/>
      <c r="Q40" s="1272"/>
    </row>
    <row r="41" spans="1:18" s="1268" customFormat="1" ht="18" customHeight="1">
      <c r="A41" s="539"/>
      <c r="B41" s="540"/>
      <c r="C41" s="541"/>
      <c r="D41" s="572" t="s">
        <v>394</v>
      </c>
      <c r="E41" s="3010" t="s">
        <v>2937</v>
      </c>
      <c r="F41" s="573">
        <f>IF('数据-取费表'!B28="租赁期内按合同租金",'数据-取费表'!B34,IF(E41="收益年期(n)",'数据-取费表'!B33,'数据-取费表'!B13))</f>
        <v>65.459999999999994</v>
      </c>
      <c r="H41" s="2155"/>
      <c r="I41" s="436" t="s">
        <v>371</v>
      </c>
      <c r="J41" s="437">
        <f ca="1">ROUND(C13/C40,3)</f>
        <v>0.41699999999999998</v>
      </c>
      <c r="K41" s="2152"/>
      <c r="L41" s="2155"/>
      <c r="M41" s="2155"/>
      <c r="Q41" s="1272"/>
    </row>
    <row r="42" spans="1:18" s="1268" customFormat="1" ht="18" customHeight="1">
      <c r="A42" s="543"/>
      <c r="B42" s="544"/>
      <c r="C42" s="545"/>
      <c r="D42" s="567"/>
      <c r="E42" s="537" t="s">
        <v>396</v>
      </c>
      <c r="F42" s="547">
        <f>'数据-取费表'!B31</f>
        <v>0.03</v>
      </c>
      <c r="H42" s="2155"/>
      <c r="I42" s="436" t="s">
        <v>372</v>
      </c>
      <c r="J42" s="438">
        <f ca="1">1-J41</f>
        <v>0.58299999999999996</v>
      </c>
      <c r="K42" s="2152"/>
      <c r="L42" s="2155"/>
      <c r="M42" s="2155"/>
      <c r="Q42" s="1272"/>
    </row>
    <row r="43" spans="1:18" s="1268" customFormat="1" ht="18" customHeight="1" thickBot="1">
      <c r="A43" s="574" t="s">
        <v>48</v>
      </c>
      <c r="B43" s="575" t="s">
        <v>397</v>
      </c>
      <c r="C43" s="576">
        <f ca="1">ROUND(C40/F43,0)</f>
        <v>9133</v>
      </c>
      <c r="D43" s="577" t="s">
        <v>398</v>
      </c>
      <c r="E43" s="578" t="s">
        <v>399</v>
      </c>
      <c r="F43" s="579">
        <f>IF(D1="仅计算典型户型",'数据-取费表'!E5,'数据-取费表'!B5)</f>
        <v>80.09</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731440</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-844627</v>
      </c>
      <c r="D47" s="2285" t="str">
        <f>C2</f>
        <v>元</v>
      </c>
      <c r="E47" s="1224"/>
      <c r="F47" s="1224"/>
      <c r="I47" s="2360" t="s">
        <v>2313</v>
      </c>
      <c r="J47" s="2361"/>
      <c r="K47" s="2362"/>
      <c r="L47" s="2388">
        <f>IF(M48="住宅",0,IF(L49&gt;J52,L61,J61))</f>
        <v>0</v>
      </c>
      <c r="O47" s="2402" t="s">
        <v>2351</v>
      </c>
      <c r="P47" s="2407" t="s">
        <v>2375</v>
      </c>
      <c r="Q47" s="2400">
        <f ca="1">C29</f>
        <v>314198</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65.459999999999994</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2015</v>
      </c>
      <c r="K50" s="2369" t="s">
        <v>2319</v>
      </c>
      <c r="L50" s="2370"/>
      <c r="O50" s="2402" t="s">
        <v>2356</v>
      </c>
      <c r="P50" s="2399" t="s">
        <v>2357</v>
      </c>
      <c r="Q50" s="2400">
        <f>J54</f>
        <v>-2</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731440</v>
      </c>
      <c r="R51" s="2401" t="s">
        <v>2360</v>
      </c>
    </row>
    <row r="52" spans="1:18" s="1268" customFormat="1" ht="16.5" thickBot="1">
      <c r="A52" s="539"/>
      <c r="B52" s="540"/>
      <c r="C52" s="541"/>
      <c r="D52" s="542"/>
      <c r="E52" s="537" t="s">
        <v>828</v>
      </c>
      <c r="F52" s="538">
        <f>F8</f>
        <v>12</v>
      </c>
      <c r="H52" s="2353"/>
      <c r="I52" s="2372" t="s">
        <v>2322</v>
      </c>
      <c r="J52" s="2373">
        <f>IF(J50="",J51,J50+J51-YEAR('数据-取费表'!B2))</f>
        <v>-2</v>
      </c>
      <c r="K52" s="2374" t="s">
        <v>2323</v>
      </c>
      <c r="L52" s="2375">
        <f ca="1">ROUND(-PV('数据-取费表'!B15,L49,(C40-C13*J35)),0)</f>
        <v>16320040</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-2</v>
      </c>
      <c r="K54" s="338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3"/>
      <c r="O54" s="2398" t="s">
        <v>2347</v>
      </c>
      <c r="P54" s="2407" t="s">
        <v>2373</v>
      </c>
      <c r="Q54" s="2400">
        <f ca="1">C40+J29</f>
        <v>731440</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304772</v>
      </c>
      <c r="D57" s="2273"/>
      <c r="E57" s="2274"/>
      <c r="F57" s="2283"/>
      <c r="H57" s="2353"/>
      <c r="I57" s="2354" t="s">
        <v>2329</v>
      </c>
      <c r="J57" s="2386" t="s">
        <v>2982</v>
      </c>
      <c r="K57" s="2356" t="s">
        <v>2334</v>
      </c>
      <c r="L57" s="1949">
        <f>IF(L49&lt;J52,"——",L49-J52)</f>
        <v>67.459999999999994</v>
      </c>
      <c r="O57" s="2402" t="s">
        <v>2352</v>
      </c>
      <c r="P57" s="2399" t="s">
        <v>2363</v>
      </c>
      <c r="Q57" s="2403">
        <f>L53</f>
        <v>0</v>
      </c>
      <c r="R57" s="2401"/>
    </row>
    <row r="58" spans="1:18" s="1268" customFormat="1" ht="29.25" thickBot="1">
      <c r="A58" s="2282"/>
      <c r="B58" s="537" t="s">
        <v>881</v>
      </c>
      <c r="C58" s="405">
        <f ca="1">C29</f>
        <v>314198</v>
      </c>
      <c r="D58" s="2273"/>
      <c r="E58" s="2274"/>
      <c r="F58" s="2283"/>
      <c r="H58" s="2353"/>
      <c r="I58" s="2355" t="s">
        <v>2330</v>
      </c>
      <c r="J58" s="2385" t="str">
        <f>IF(OR(M48="住宅",J52&lt;L49,J57="是"),"——",J52-L49)</f>
        <v>——</v>
      </c>
      <c r="K58" s="2356" t="s">
        <v>2335</v>
      </c>
      <c r="L58" s="1949">
        <f ca="1">IF(L49&lt;J52,"——",IF(L56="比较法",L50,IF(L56="基准地价",L51,L52)))</f>
        <v>16320040</v>
      </c>
      <c r="O58" s="2402" t="s">
        <v>2354</v>
      </c>
      <c r="P58" s="2399" t="s">
        <v>2364</v>
      </c>
      <c r="Q58" s="2400">
        <f>L59</f>
        <v>0</v>
      </c>
      <c r="R58" s="2401" t="s">
        <v>2365</v>
      </c>
    </row>
    <row r="59" spans="1:18" s="1268" customFormat="1" ht="29.25" thickBot="1">
      <c r="A59" s="550" t="s">
        <v>38</v>
      </c>
      <c r="B59" s="551" t="s">
        <v>837</v>
      </c>
      <c r="C59" s="552">
        <f ca="1">ROUND(C60+C65+C66+C67,0)</f>
        <v>3603</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731440</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2909</v>
      </c>
      <c r="O63" s="2398" t="s">
        <v>2347</v>
      </c>
      <c r="P63" s="2407" t="s">
        <v>2378</v>
      </c>
      <c r="Q63" s="2400">
        <f ca="1">C40+J29</f>
        <v>731440</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3142</v>
      </c>
      <c r="D65" s="2269" t="s">
        <v>888</v>
      </c>
      <c r="E65" s="537" t="s">
        <v>889</v>
      </c>
      <c r="F65" s="568">
        <f t="shared" si="0"/>
        <v>0.01</v>
      </c>
      <c r="I65" s="2358" t="s">
        <v>2340</v>
      </c>
      <c r="J65" s="3108">
        <v>50</v>
      </c>
      <c r="K65" s="3108">
        <v>35</v>
      </c>
      <c r="L65" s="3108">
        <v>60</v>
      </c>
      <c r="M65" s="3106">
        <v>0</v>
      </c>
      <c r="O65" s="2402" t="s">
        <v>2351</v>
      </c>
      <c r="P65" s="2399" t="s">
        <v>2377</v>
      </c>
      <c r="Q65" s="2404">
        <f ca="1">L52</f>
        <v>16320040</v>
      </c>
      <c r="R65" s="2405" t="s">
        <v>2382</v>
      </c>
    </row>
    <row r="66" spans="1:18" s="1268" customFormat="1" ht="20.25" thickBot="1">
      <c r="A66" s="555" t="s">
        <v>44</v>
      </c>
      <c r="B66" s="537" t="s">
        <v>382</v>
      </c>
      <c r="C66" s="197">
        <f ca="1">ROUND(C57*F66,0)</f>
        <v>457</v>
      </c>
      <c r="D66" s="2269" t="s">
        <v>383</v>
      </c>
      <c r="E66" s="537" t="s">
        <v>384</v>
      </c>
      <c r="F66" s="569">
        <f t="shared" si="0"/>
        <v>1.5E-3</v>
      </c>
      <c r="I66" s="2358" t="s">
        <v>2341</v>
      </c>
      <c r="J66" s="3108">
        <v>40</v>
      </c>
      <c r="K66" s="3108">
        <v>30</v>
      </c>
      <c r="L66" s="3108">
        <v>50</v>
      </c>
      <c r="M66" s="3105">
        <v>0.02</v>
      </c>
      <c r="O66" s="2402" t="s">
        <v>2352</v>
      </c>
      <c r="P66" s="2406" t="s">
        <v>2379</v>
      </c>
      <c r="Q66" s="2400">
        <f ca="1">ROUND(Q67-Q68*Q69,0)</f>
        <v>-8777</v>
      </c>
      <c r="R66" s="2401"/>
    </row>
    <row r="67" spans="1:18" s="1268" customFormat="1" ht="15.75" thickBot="1">
      <c r="A67" s="555" t="s">
        <v>45</v>
      </c>
      <c r="B67" s="537" t="s">
        <v>381</v>
      </c>
      <c r="C67" s="197">
        <f ca="1">ROUND(C49*F67,0)</f>
        <v>1</v>
      </c>
      <c r="D67" s="2269" t="s">
        <v>385</v>
      </c>
      <c r="E67" s="537" t="s">
        <v>384</v>
      </c>
      <c r="F67" s="547">
        <f t="shared" si="0"/>
        <v>0.01</v>
      </c>
      <c r="O67" s="2402" t="s">
        <v>2369</v>
      </c>
      <c r="P67" s="2408" t="s">
        <v>2380</v>
      </c>
      <c r="Q67" s="2400">
        <f ca="1">C39</f>
        <v>15605</v>
      </c>
      <c r="R67" s="2401" t="s">
        <v>2348</v>
      </c>
    </row>
    <row r="68" spans="1:18" ht="24.75" thickBot="1">
      <c r="A68" s="550" t="s">
        <v>46</v>
      </c>
      <c r="B68" s="306" t="s">
        <v>391</v>
      </c>
      <c r="C68" s="552">
        <f ca="1">C49-C59</f>
        <v>-3552</v>
      </c>
      <c r="D68" s="2268" t="s">
        <v>392</v>
      </c>
      <c r="E68" s="2270"/>
      <c r="F68" s="571"/>
      <c r="H68" s="1268"/>
      <c r="I68" s="1268"/>
      <c r="J68" s="1268"/>
      <c r="K68" s="1268"/>
      <c r="L68" s="1268"/>
      <c r="M68" s="1268"/>
      <c r="O68" s="2402" t="s">
        <v>2370</v>
      </c>
      <c r="P68" s="2408" t="s">
        <v>2381</v>
      </c>
      <c r="Q68" s="2400">
        <f ca="1">C13</f>
        <v>304772</v>
      </c>
      <c r="R68" s="2401" t="s">
        <v>2348</v>
      </c>
    </row>
    <row r="69" spans="1:18" ht="15.75" thickBot="1">
      <c r="A69" s="534" t="s">
        <v>47</v>
      </c>
      <c r="B69" s="535" t="s">
        <v>393</v>
      </c>
      <c r="C69" s="536">
        <f ca="1">ROUND(C68*(1-((1+F71)/(1+F69))^F70)/(F69-F71),0)</f>
        <v>-113187</v>
      </c>
      <c r="D69" s="564" t="s">
        <v>387</v>
      </c>
      <c r="E69" s="537" t="s">
        <v>388</v>
      </c>
      <c r="F69" s="547">
        <f>F40</f>
        <v>0.04</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65.459999999999994</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-1413</v>
      </c>
      <c r="D72" s="577" t="s">
        <v>398</v>
      </c>
      <c r="E72" s="578" t="s">
        <v>399</v>
      </c>
      <c r="F72" s="579">
        <f>F43</f>
        <v>80.09</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731440</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25" right="0.25" top="0.75" bottom="0.75" header="0.3" footer="0.3"/>
  <pageSetup paperSize="9" scale="44"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84" t="s">
        <v>2504</v>
      </c>
      <c r="B1" s="3385"/>
      <c r="C1" s="3386"/>
      <c r="D1" s="3387">
        <f>SUM(I10,I15,I20,I21,I23)</f>
        <v>0</v>
      </c>
      <c r="E1" s="3387"/>
      <c r="F1" s="3387"/>
      <c r="G1" s="3387"/>
      <c r="H1" s="3387"/>
      <c r="I1" s="3388"/>
    </row>
    <row r="2" spans="1:9">
      <c r="A2" s="3389" t="s">
        <v>2505</v>
      </c>
      <c r="B2" s="3390" t="s">
        <v>2454</v>
      </c>
      <c r="C2" s="3390"/>
      <c r="D2" s="2459" t="s">
        <v>2455</v>
      </c>
      <c r="E2" s="2459" t="s">
        <v>2456</v>
      </c>
      <c r="F2" s="2459" t="s">
        <v>2457</v>
      </c>
      <c r="G2" s="2459" t="s">
        <v>2458</v>
      </c>
      <c r="H2" s="2459" t="s">
        <v>2459</v>
      </c>
      <c r="I2" s="2460" t="s">
        <v>2460</v>
      </c>
    </row>
    <row r="3" spans="1:9">
      <c r="A3" s="3389"/>
      <c r="B3" s="3390" t="s">
        <v>2461</v>
      </c>
      <c r="C3" s="3390"/>
      <c r="D3" s="2461"/>
      <c r="E3" s="2459"/>
      <c r="F3" s="2462"/>
      <c r="G3" s="2462"/>
      <c r="H3" s="2463"/>
      <c r="I3" s="2464">
        <f>ROUND(D3*E3*F3*G3*H3/10000,0)</f>
        <v>0</v>
      </c>
    </row>
    <row r="4" spans="1:9">
      <c r="A4" s="3389"/>
      <c r="B4" s="3390" t="s">
        <v>2462</v>
      </c>
      <c r="C4" s="3390"/>
      <c r="D4" s="2461"/>
      <c r="E4" s="2459"/>
      <c r="F4" s="2462"/>
      <c r="G4" s="2462"/>
      <c r="H4" s="2463"/>
      <c r="I4" s="2464">
        <f t="shared" ref="I4:I9" si="0">ROUND(D4*E4*F4*G4*H4/10000,0)</f>
        <v>0</v>
      </c>
    </row>
    <row r="5" spans="1:9">
      <c r="A5" s="3389"/>
      <c r="B5" s="3390" t="s">
        <v>2463</v>
      </c>
      <c r="C5" s="3390"/>
      <c r="D5" s="2461"/>
      <c r="E5" s="2459"/>
      <c r="F5" s="2462"/>
      <c r="G5" s="2462"/>
      <c r="H5" s="2463"/>
      <c r="I5" s="2464">
        <f t="shared" si="0"/>
        <v>0</v>
      </c>
    </row>
    <row r="6" spans="1:9">
      <c r="A6" s="3389"/>
      <c r="B6" s="3390" t="s">
        <v>2464</v>
      </c>
      <c r="C6" s="3390"/>
      <c r="D6" s="2461"/>
      <c r="E6" s="2459"/>
      <c r="F6" s="2462"/>
      <c r="G6" s="2462"/>
      <c r="H6" s="2463"/>
      <c r="I6" s="2464">
        <f t="shared" si="0"/>
        <v>0</v>
      </c>
    </row>
    <row r="7" spans="1:9">
      <c r="A7" s="3389"/>
      <c r="B7" s="3390" t="s">
        <v>2465</v>
      </c>
      <c r="C7" s="3390"/>
      <c r="D7" s="2461"/>
      <c r="E7" s="2459"/>
      <c r="F7" s="2462"/>
      <c r="G7" s="2462"/>
      <c r="H7" s="2463"/>
      <c r="I7" s="2464">
        <f t="shared" si="0"/>
        <v>0</v>
      </c>
    </row>
    <row r="8" spans="1:9">
      <c r="A8" s="3389"/>
      <c r="B8" s="3390" t="s">
        <v>2466</v>
      </c>
      <c r="C8" s="3390"/>
      <c r="D8" s="2461"/>
      <c r="E8" s="2459"/>
      <c r="F8" s="2462"/>
      <c r="G8" s="2462"/>
      <c r="H8" s="2463"/>
      <c r="I8" s="2464">
        <f t="shared" si="0"/>
        <v>0</v>
      </c>
    </row>
    <row r="9" spans="1:9">
      <c r="A9" s="3389"/>
      <c r="B9" s="3390" t="s">
        <v>2467</v>
      </c>
      <c r="C9" s="3390"/>
      <c r="D9" s="2461"/>
      <c r="E9" s="2459"/>
      <c r="F9" s="2462"/>
      <c r="G9" s="2462"/>
      <c r="H9" s="2463"/>
      <c r="I9" s="2464">
        <f t="shared" si="0"/>
        <v>0</v>
      </c>
    </row>
    <row r="10" spans="1:9">
      <c r="A10" s="3389"/>
      <c r="B10" s="3391" t="s">
        <v>2468</v>
      </c>
      <c r="C10" s="3391"/>
      <c r="D10" s="2465">
        <v>527</v>
      </c>
      <c r="E10" s="2465" t="e">
        <f>ROUND(D1*10000/D10/H9,0)</f>
        <v>#DIV/0!</v>
      </c>
      <c r="F10" s="2466"/>
      <c r="G10" s="2466"/>
      <c r="H10" s="2467"/>
      <c r="I10" s="2468">
        <f>SUM(I3:I9)</f>
        <v>0</v>
      </c>
    </row>
    <row r="11" spans="1:9" ht="14.25">
      <c r="A11" s="3389" t="s">
        <v>2506</v>
      </c>
      <c r="B11" s="3390" t="s">
        <v>2469</v>
      </c>
      <c r="C11" s="3390"/>
      <c r="D11" s="2461" t="s">
        <v>2470</v>
      </c>
      <c r="E11" s="2461" t="s">
        <v>2471</v>
      </c>
      <c r="F11" s="2462" t="s">
        <v>2472</v>
      </c>
      <c r="G11" s="2462" t="s">
        <v>2459</v>
      </c>
      <c r="H11" s="2469" t="s">
        <v>2473</v>
      </c>
      <c r="I11" s="2460" t="s">
        <v>2460</v>
      </c>
    </row>
    <row r="12" spans="1:9">
      <c r="A12" s="3389"/>
      <c r="B12" s="3390" t="s">
        <v>2474</v>
      </c>
      <c r="C12" s="3390"/>
      <c r="D12" s="2461"/>
      <c r="E12" s="2461"/>
      <c r="F12" s="2462"/>
      <c r="G12" s="2463"/>
      <c r="H12" s="2470"/>
      <c r="I12" s="2460">
        <f>ROUND(D12*E12*F12*G12/10000,0)</f>
        <v>0</v>
      </c>
    </row>
    <row r="13" spans="1:9">
      <c r="A13" s="3389"/>
      <c r="B13" s="3390" t="s">
        <v>2475</v>
      </c>
      <c r="C13" s="3390"/>
      <c r="D13" s="2461"/>
      <c r="E13" s="2461"/>
      <c r="F13" s="2462"/>
      <c r="G13" s="2463"/>
      <c r="H13" s="2470"/>
      <c r="I13" s="2460">
        <f>ROUND(D13*E13*F13*G13/10000,0)</f>
        <v>0</v>
      </c>
    </row>
    <row r="14" spans="1:9">
      <c r="A14" s="3389"/>
      <c r="B14" s="3390" t="s">
        <v>2476</v>
      </c>
      <c r="C14" s="3390"/>
      <c r="D14" s="2461"/>
      <c r="E14" s="2461"/>
      <c r="F14" s="2462"/>
      <c r="G14" s="2463"/>
      <c r="H14" s="2470"/>
      <c r="I14" s="2460">
        <f>ROUND(D14*E14*F14*G14/10000,0)</f>
        <v>0</v>
      </c>
    </row>
    <row r="15" spans="1:9">
      <c r="A15" s="3389"/>
      <c r="B15" s="3391" t="s">
        <v>2468</v>
      </c>
      <c r="C15" s="3391"/>
      <c r="D15" s="2465"/>
      <c r="E15" s="2465">
        <f>SUM(E12:E14)</f>
        <v>0</v>
      </c>
      <c r="F15" s="2466"/>
      <c r="G15" s="2463"/>
      <c r="H15" s="2470"/>
      <c r="I15" s="2471">
        <f>SUM(I12:I14)</f>
        <v>0</v>
      </c>
    </row>
    <row r="16" spans="1:9" ht="24">
      <c r="A16" s="3389" t="s">
        <v>2507</v>
      </c>
      <c r="B16" s="3390" t="s">
        <v>2477</v>
      </c>
      <c r="C16" s="3390"/>
      <c r="D16" s="2461" t="s">
        <v>2455</v>
      </c>
      <c r="E16" s="2472" t="s">
        <v>2478</v>
      </c>
      <c r="F16" s="2462" t="s">
        <v>2479</v>
      </c>
      <c r="G16" s="2463" t="s">
        <v>2459</v>
      </c>
      <c r="H16" s="2469" t="s">
        <v>2473</v>
      </c>
      <c r="I16" s="2460" t="s">
        <v>2460</v>
      </c>
    </row>
    <row r="17" spans="1:9" ht="14.25">
      <c r="A17" s="3389"/>
      <c r="B17" s="3390" t="s">
        <v>2480</v>
      </c>
      <c r="C17" s="3390"/>
      <c r="D17" s="2461"/>
      <c r="E17" s="2461"/>
      <c r="F17" s="2462"/>
      <c r="G17" s="2463"/>
      <c r="H17" s="2473"/>
      <c r="I17" s="2474">
        <f>ROUND(D17*E17*F17*G17/10000,0)</f>
        <v>0</v>
      </c>
    </row>
    <row r="18" spans="1:9" ht="14.25">
      <c r="A18" s="3389"/>
      <c r="B18" s="3390" t="s">
        <v>2481</v>
      </c>
      <c r="C18" s="3390"/>
      <c r="D18" s="2461"/>
      <c r="E18" s="2461"/>
      <c r="F18" s="2462"/>
      <c r="G18" s="2463"/>
      <c r="H18" s="2473"/>
      <c r="I18" s="2474">
        <f>ROUND(D18*E18*F18*G18/10000,0)</f>
        <v>0</v>
      </c>
    </row>
    <row r="19" spans="1:9" ht="14.25">
      <c r="A19" s="3389"/>
      <c r="B19" s="3390" t="s">
        <v>2482</v>
      </c>
      <c r="C19" s="3390"/>
      <c r="D19" s="2461"/>
      <c r="E19" s="2461"/>
      <c r="F19" s="2462"/>
      <c r="G19" s="2463"/>
      <c r="H19" s="2473"/>
      <c r="I19" s="2474">
        <f>ROUND(D19*E19*F19*G19/10000,0)</f>
        <v>0</v>
      </c>
    </row>
    <row r="20" spans="1:9">
      <c r="A20" s="3389"/>
      <c r="B20" s="3391" t="s">
        <v>2468</v>
      </c>
      <c r="C20" s="3391"/>
      <c r="D20" s="2465">
        <f>SUM(D17:D19)</f>
        <v>0</v>
      </c>
      <c r="E20" s="2465"/>
      <c r="F20" s="2466"/>
      <c r="G20" s="2463"/>
      <c r="H20" s="2470"/>
      <c r="I20" s="2471">
        <f>SUM(I17:I19)</f>
        <v>0</v>
      </c>
    </row>
    <row r="21" spans="1:9">
      <c r="A21" s="3389" t="s">
        <v>2508</v>
      </c>
      <c r="B21" s="3393"/>
      <c r="C21" s="3393"/>
      <c r="D21" s="3393"/>
      <c r="E21" s="3393"/>
      <c r="F21" s="3393"/>
      <c r="G21" s="3393"/>
      <c r="H21" s="2475">
        <v>0.1</v>
      </c>
      <c r="I21" s="2468">
        <f>ROUND(I10*H21,0)</f>
        <v>0</v>
      </c>
    </row>
    <row r="22" spans="1:9" ht="14.25">
      <c r="A22" s="3394" t="s">
        <v>2509</v>
      </c>
      <c r="B22" s="3395"/>
      <c r="C22" s="3396"/>
      <c r="D22" s="2476" t="s">
        <v>2483</v>
      </c>
      <c r="E22" s="2476" t="s">
        <v>2484</v>
      </c>
      <c r="F22" s="2477" t="s">
        <v>2459</v>
      </c>
      <c r="G22" s="2477" t="s">
        <v>2485</v>
      </c>
      <c r="H22" s="2469" t="s">
        <v>2473</v>
      </c>
      <c r="I22" s="2460" t="s">
        <v>2460</v>
      </c>
    </row>
    <row r="23" spans="1:9" ht="14.25" thickBot="1">
      <c r="A23" s="3397"/>
      <c r="B23" s="3398"/>
      <c r="C23" s="3399"/>
      <c r="D23" s="2478"/>
      <c r="E23" s="2478"/>
      <c r="F23" s="2478"/>
      <c r="G23" s="2479"/>
      <c r="H23" s="2480"/>
      <c r="I23" s="2481">
        <f>ROUND(E23*D23*F23*(1-G23)/10000,0)</f>
        <v>0</v>
      </c>
    </row>
    <row r="26" spans="1:9">
      <c r="A26" s="2482" t="s">
        <v>2486</v>
      </c>
      <c r="B26" s="2482"/>
      <c r="C26" s="2482"/>
      <c r="D26" s="2482"/>
      <c r="E26" s="3400">
        <f>C27-C30-C31-C32</f>
        <v>0</v>
      </c>
      <c r="F26" s="3400"/>
      <c r="G26" s="3400"/>
      <c r="H26" s="3016" t="s">
        <v>2813</v>
      </c>
    </row>
    <row r="27" spans="1:9">
      <c r="A27" s="2483">
        <v>1</v>
      </c>
      <c r="B27" s="2484" t="s">
        <v>2487</v>
      </c>
      <c r="C27" s="2484">
        <f>C28+C29</f>
        <v>0</v>
      </c>
      <c r="D27" s="2484"/>
      <c r="E27" s="3401"/>
      <c r="F27" s="3401"/>
      <c r="G27" s="3401"/>
    </row>
    <row r="28" spans="1:9">
      <c r="A28" s="2485" t="s">
        <v>2488</v>
      </c>
      <c r="B28" s="2484" t="s">
        <v>2489</v>
      </c>
      <c r="C28" s="2484"/>
      <c r="D28" s="2484"/>
      <c r="E28" s="3401"/>
      <c r="F28" s="3401"/>
      <c r="G28" s="3401"/>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92"/>
      <c r="F32" s="3392"/>
      <c r="G32" s="3392"/>
    </row>
    <row r="33" spans="1:7" hidden="1">
      <c r="A33" s="3402" t="s">
        <v>2498</v>
      </c>
      <c r="B33" s="3403"/>
      <c r="C33" s="3403"/>
      <c r="D33" s="3404"/>
      <c r="E33" s="3400"/>
      <c r="F33" s="3400"/>
      <c r="G33" s="3400"/>
    </row>
    <row r="34" spans="1:7" hidden="1">
      <c r="A34" s="2487">
        <v>1</v>
      </c>
      <c r="B34" s="2484" t="s">
        <v>2499</v>
      </c>
      <c r="C34" s="2484"/>
      <c r="D34" s="2484"/>
      <c r="E34" s="3401"/>
      <c r="F34" s="3401"/>
      <c r="G34" s="3401"/>
    </row>
    <row r="35" spans="1:7" hidden="1">
      <c r="A35" s="2487">
        <v>2</v>
      </c>
      <c r="B35" s="2484" t="s">
        <v>2500</v>
      </c>
      <c r="C35" s="2484"/>
      <c r="D35" s="2484"/>
      <c r="E35" s="3401"/>
      <c r="F35" s="3401"/>
      <c r="G35" s="3401"/>
    </row>
    <row r="36" spans="1:7" hidden="1">
      <c r="A36" s="2487">
        <v>3</v>
      </c>
      <c r="B36" s="2484" t="s">
        <v>2501</v>
      </c>
      <c r="C36" s="2484"/>
      <c r="D36" s="2484"/>
      <c r="E36" s="3401"/>
      <c r="F36" s="3401"/>
      <c r="G36" s="3401"/>
    </row>
    <row r="37" spans="1:7" hidden="1">
      <c r="A37" s="2487">
        <v>4</v>
      </c>
      <c r="B37" s="2484" t="s">
        <v>2502</v>
      </c>
      <c r="C37" s="2484"/>
      <c r="D37" s="2484"/>
      <c r="E37" s="3401"/>
      <c r="F37" s="3401"/>
      <c r="G37" s="3401"/>
    </row>
    <row r="38" spans="1:7" hidden="1">
      <c r="A38" s="3402" t="s">
        <v>2503</v>
      </c>
      <c r="B38" s="3403"/>
      <c r="C38" s="3403"/>
      <c r="D38" s="3404"/>
      <c r="E38" s="3400"/>
      <c r="F38" s="3400"/>
      <c r="G38" s="340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8" t="s">
        <v>534</v>
      </c>
      <c r="D4" s="3409"/>
      <c r="E4" s="3409"/>
      <c r="F4" s="3409"/>
      <c r="G4" s="3409"/>
      <c r="H4" s="3409"/>
      <c r="I4" s="3409"/>
      <c r="J4" s="3409"/>
      <c r="K4" s="3409"/>
      <c r="L4" s="3409"/>
      <c r="M4" s="3409"/>
      <c r="N4" s="3409"/>
      <c r="O4" s="3409"/>
      <c r="P4" s="3409"/>
      <c r="Q4" s="3409"/>
      <c r="R4" s="3409"/>
      <c r="S4" s="3410"/>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5" t="s">
        <v>174</v>
      </c>
      <c r="D25" s="3406"/>
      <c r="E25" s="3406"/>
      <c r="F25" s="3406"/>
      <c r="G25" s="3406"/>
      <c r="H25" s="3406"/>
      <c r="I25" s="3406"/>
      <c r="J25" s="3406"/>
      <c r="K25" s="3406"/>
      <c r="L25" s="3406"/>
      <c r="M25" s="3406"/>
      <c r="N25" s="3406"/>
      <c r="O25" s="3406"/>
      <c r="P25" s="3406"/>
      <c r="Q25" s="3407"/>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sqref="A1:J49"/>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2938</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2156583</v>
      </c>
      <c r="C2" s="32" t="str">
        <f>'数据-取费表'!B3</f>
        <v>元</v>
      </c>
      <c r="D2" s="2888" t="s">
        <v>2904</v>
      </c>
      <c r="E2" s="3036">
        <f ca="1">SUMIF(INDIRECT("'"&amp;G2&amp;"'"&amp;"!A:A"),"承租人权益价值",INDIRECT("'"&amp;G2&amp;"'"&amp;"!c:c"))</f>
        <v>-844627</v>
      </c>
      <c r="F2" s="2889" t="str">
        <f>C2</f>
        <v>元</v>
      </c>
      <c r="G2" s="2890" t="s">
        <v>2939</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26927</v>
      </c>
      <c r="C3" s="89" t="s">
        <v>896</v>
      </c>
      <c r="D3" s="596">
        <f>IF(C1="仅计算典型户型",'数据-取费表'!E5,'数据-取费表'!B5)</f>
        <v>80.09</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14" t="s">
        <v>898</v>
      </c>
      <c r="D4" s="3415"/>
      <c r="E4" s="3416" t="s">
        <v>899</v>
      </c>
      <c r="F4" s="3417"/>
      <c r="G4" s="3414" t="s">
        <v>900</v>
      </c>
      <c r="H4" s="3415"/>
      <c r="I4" s="3414" t="s">
        <v>901</v>
      </c>
      <c r="J4" s="3415"/>
      <c r="K4" s="92" t="s">
        <v>902</v>
      </c>
      <c r="L4" s="2164"/>
      <c r="M4" s="2165"/>
      <c r="N4" s="2165"/>
      <c r="O4" s="2165"/>
      <c r="P4" s="3418" t="s">
        <v>897</v>
      </c>
      <c r="Q4" s="3419"/>
      <c r="R4" s="3424" t="s">
        <v>899</v>
      </c>
      <c r="S4" s="3425"/>
      <c r="T4" s="3424" t="s">
        <v>900</v>
      </c>
      <c r="U4" s="3425"/>
      <c r="V4" s="3430" t="s">
        <v>901</v>
      </c>
      <c r="W4" s="3430"/>
      <c r="X4" s="1133"/>
      <c r="Y4" s="3424" t="s">
        <v>897</v>
      </c>
      <c r="Z4" s="3425"/>
      <c r="AA4" s="3411" t="s">
        <v>899</v>
      </c>
      <c r="AB4" s="3411" t="s">
        <v>900</v>
      </c>
      <c r="AC4" s="3411" t="s">
        <v>901</v>
      </c>
    </row>
    <row r="5" spans="1:29" ht="44.25" customHeight="1" thickBot="1">
      <c r="A5" s="93"/>
      <c r="B5" s="94"/>
      <c r="C5" s="3433" t="s">
        <v>3011</v>
      </c>
      <c r="D5" s="3434"/>
      <c r="E5" s="3431" t="s">
        <v>3012</v>
      </c>
      <c r="F5" s="3432"/>
      <c r="G5" s="3433" t="s">
        <v>3012</v>
      </c>
      <c r="H5" s="3434"/>
      <c r="I5" s="3433" t="s">
        <v>3012</v>
      </c>
      <c r="J5" s="3434"/>
      <c r="K5" s="99"/>
      <c r="L5" s="2164"/>
      <c r="M5" s="2165"/>
      <c r="N5" s="2165"/>
      <c r="O5" s="2165"/>
      <c r="P5" s="3420"/>
      <c r="Q5" s="3421"/>
      <c r="R5" s="3426"/>
      <c r="S5" s="3427"/>
      <c r="T5" s="3426"/>
      <c r="U5" s="3427"/>
      <c r="V5" s="3430"/>
      <c r="W5" s="3430"/>
      <c r="X5" s="1133"/>
      <c r="Y5" s="3426"/>
      <c r="Z5" s="3427"/>
      <c r="AA5" s="3412"/>
      <c r="AB5" s="3412"/>
      <c r="AC5" s="3412"/>
    </row>
    <row r="6" spans="1:29" ht="14.25" hidden="1" thickBot="1">
      <c r="A6" s="95"/>
      <c r="B6" s="96"/>
      <c r="C6" s="3435" t="s">
        <v>2940</v>
      </c>
      <c r="D6" s="3436"/>
      <c r="E6" s="3437" t="s">
        <v>903</v>
      </c>
      <c r="F6" s="3438"/>
      <c r="G6" s="3435" t="s">
        <v>903</v>
      </c>
      <c r="H6" s="3436"/>
      <c r="I6" s="3435" t="s">
        <v>903</v>
      </c>
      <c r="J6" s="3436"/>
      <c r="K6" s="99" t="s">
        <v>904</v>
      </c>
      <c r="L6" s="2164"/>
      <c r="M6" s="2165"/>
      <c r="N6" s="2165"/>
      <c r="O6" s="2165"/>
      <c r="P6" s="3422"/>
      <c r="Q6" s="3423"/>
      <c r="R6" s="3426"/>
      <c r="S6" s="3427"/>
      <c r="T6" s="3428"/>
      <c r="U6" s="3429"/>
      <c r="V6" s="3430"/>
      <c r="W6" s="3430"/>
      <c r="X6" s="1133"/>
      <c r="Y6" s="3428"/>
      <c r="Z6" s="3429"/>
      <c r="AA6" s="3413"/>
      <c r="AB6" s="3413"/>
      <c r="AC6" s="3413"/>
    </row>
    <row r="7" spans="1:29" s="11" customFormat="1" ht="15" thickBot="1">
      <c r="A7" s="872" t="s">
        <v>905</v>
      </c>
      <c r="B7" s="873"/>
      <c r="C7" s="874">
        <f>'数据-取费表'!B2</f>
        <v>42969</v>
      </c>
      <c r="D7" s="608">
        <v>100</v>
      </c>
      <c r="E7" s="875">
        <v>42946</v>
      </c>
      <c r="F7" s="610">
        <f>SUMIF(58:58,YEAR(E7)&amp;"-"&amp;MONTH(E7),59:59)</f>
        <v>100</v>
      </c>
      <c r="G7" s="875">
        <v>42943</v>
      </c>
      <c r="H7" s="608">
        <f>SUMIF(58:58,YEAR(G7)&amp;"-"&amp;MONTH(G7),59:59)</f>
        <v>100</v>
      </c>
      <c r="I7" s="875">
        <v>42926</v>
      </c>
      <c r="J7" s="608">
        <f>SUMIF(58:58,YEAR(I7)&amp;"-"&amp;MONTH(I7),59:59)</f>
        <v>100</v>
      </c>
      <c r="K7" s="1134"/>
      <c r="L7" s="2166"/>
      <c r="M7" s="2108"/>
      <c r="N7" s="2108"/>
      <c r="O7" s="2108"/>
      <c r="P7" s="3446" t="s">
        <v>905</v>
      </c>
      <c r="Q7" s="3448"/>
      <c r="R7" s="1135" t="s">
        <v>117</v>
      </c>
      <c r="S7" s="1136">
        <f t="shared" ref="S7:S15" si="0">F7</f>
        <v>100</v>
      </c>
      <c r="T7" s="1135" t="s">
        <v>117</v>
      </c>
      <c r="U7" s="1136">
        <f t="shared" ref="U7:U15" si="1">H7</f>
        <v>100</v>
      </c>
      <c r="V7" s="1135" t="s">
        <v>117</v>
      </c>
      <c r="W7" s="1136">
        <f t="shared" ref="W7:W15" si="2">J7</f>
        <v>100</v>
      </c>
      <c r="X7" s="184"/>
      <c r="Y7" s="3446" t="s">
        <v>905</v>
      </c>
      <c r="Z7" s="3447"/>
      <c r="AA7" s="1137">
        <f>D7/F7</f>
        <v>1</v>
      </c>
      <c r="AB7" s="1137">
        <f>D7/H7</f>
        <v>1</v>
      </c>
      <c r="AC7" s="1137">
        <f>D7/J7</f>
        <v>1</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46" t="s">
        <v>906</v>
      </c>
      <c r="Q8" s="3447"/>
      <c r="R8" s="1135" t="s">
        <v>117</v>
      </c>
      <c r="S8" s="1136">
        <f t="shared" si="0"/>
        <v>100</v>
      </c>
      <c r="T8" s="1135" t="s">
        <v>117</v>
      </c>
      <c r="U8" s="1136">
        <f t="shared" si="1"/>
        <v>100</v>
      </c>
      <c r="V8" s="1135" t="s">
        <v>117</v>
      </c>
      <c r="W8" s="1136">
        <f t="shared" si="2"/>
        <v>100</v>
      </c>
      <c r="X8" s="184"/>
      <c r="Y8" s="3446" t="s">
        <v>906</v>
      </c>
      <c r="Z8" s="3447"/>
      <c r="AA8" s="1137">
        <f t="shared" ref="AA8:AA46" si="3">D8/F8</f>
        <v>1</v>
      </c>
      <c r="AB8" s="1137">
        <f t="shared" ref="AB8:AB46" si="4">D8/H8</f>
        <v>1</v>
      </c>
      <c r="AC8" s="1137">
        <f t="shared" ref="AC8:AC46" si="5">D8/J8</f>
        <v>1</v>
      </c>
    </row>
    <row r="9" spans="1:29" s="11" customFormat="1" ht="14.25">
      <c r="A9" s="879" t="s">
        <v>907</v>
      </c>
      <c r="B9" s="20" t="s">
        <v>908</v>
      </c>
      <c r="C9" s="1139" t="s">
        <v>2941</v>
      </c>
      <c r="D9" s="234">
        <v>100</v>
      </c>
      <c r="E9" s="1139" t="s">
        <v>2941</v>
      </c>
      <c r="F9" s="616">
        <f>SUMIF(63:63,E9,64:64)-SUMIF(63:63,C9,64:64)+100</f>
        <v>100</v>
      </c>
      <c r="G9" s="1139" t="s">
        <v>2941</v>
      </c>
      <c r="H9" s="234">
        <f>SUMIF(63:63,G9,64:64)-SUMIF(63:63,C9,64:64)+100</f>
        <v>100</v>
      </c>
      <c r="I9" s="1139" t="s">
        <v>2941</v>
      </c>
      <c r="J9" s="234">
        <f>SUMIF(63:63,I9,64:64)-SUMIF(63:63,C9,64:64)+100</f>
        <v>100</v>
      </c>
      <c r="K9" s="1134"/>
      <c r="L9" s="2166"/>
      <c r="M9" s="2108"/>
      <c r="N9" s="2108"/>
      <c r="O9" s="2108"/>
      <c r="P9" s="3449" t="s">
        <v>63</v>
      </c>
      <c r="Q9" s="2" t="str">
        <f t="shared" ref="Q9:Q15" si="6">B9</f>
        <v>用途</v>
      </c>
      <c r="R9" s="1135" t="s">
        <v>61</v>
      </c>
      <c r="S9" s="1136">
        <f t="shared" si="0"/>
        <v>100</v>
      </c>
      <c r="T9" s="1135" t="s">
        <v>61</v>
      </c>
      <c r="U9" s="1136">
        <f t="shared" si="1"/>
        <v>100</v>
      </c>
      <c r="V9" s="1135" t="s">
        <v>61</v>
      </c>
      <c r="W9" s="1136">
        <f t="shared" si="2"/>
        <v>100</v>
      </c>
      <c r="X9" s="184"/>
      <c r="Y9" s="3250" t="s">
        <v>63</v>
      </c>
      <c r="Z9" s="185" t="str">
        <f t="shared" ref="Z9:Z15" si="7">Q9</f>
        <v>用途</v>
      </c>
      <c r="AA9" s="1137">
        <f t="shared" si="3"/>
        <v>1</v>
      </c>
      <c r="AB9" s="1137">
        <f t="shared" si="4"/>
        <v>1</v>
      </c>
      <c r="AC9" s="1137">
        <f t="shared" si="5"/>
        <v>1</v>
      </c>
    </row>
    <row r="10" spans="1:29" s="39" customFormat="1" ht="27.75" thickBot="1">
      <c r="A10" s="97"/>
      <c r="B10" s="4" t="s">
        <v>104</v>
      </c>
      <c r="C10" s="1142" t="s">
        <v>3013</v>
      </c>
      <c r="D10" s="235">
        <v>100</v>
      </c>
      <c r="E10" s="1143" t="s">
        <v>3013</v>
      </c>
      <c r="F10" s="623">
        <f>SUMIF(65:65,E10,66:66)-SUMIF(65:65,C10,66:66)+100</f>
        <v>100</v>
      </c>
      <c r="G10" s="1142" t="s">
        <v>3013</v>
      </c>
      <c r="H10" s="235">
        <f>SUMIF(65:65,G10,66:66)-SUMIF(65:65,C10,66:66)+100</f>
        <v>100</v>
      </c>
      <c r="I10" s="1142" t="s">
        <v>3013</v>
      </c>
      <c r="J10" s="235">
        <f>SUMIF(65:65,I10,66:66)-SUMIF(65:65,C10,66:66)+100</f>
        <v>100</v>
      </c>
      <c r="K10" s="624">
        <v>1</v>
      </c>
      <c r="L10" s="2167"/>
      <c r="M10" s="2168"/>
      <c r="N10" s="2168"/>
      <c r="O10" s="2168"/>
      <c r="P10" s="3449"/>
      <c r="Q10" s="2" t="str">
        <f t="shared" si="6"/>
        <v>土地使用年限（年）</v>
      </c>
      <c r="R10" s="1135" t="s">
        <v>61</v>
      </c>
      <c r="S10" s="1136">
        <f t="shared" si="0"/>
        <v>100</v>
      </c>
      <c r="T10" s="1135" t="s">
        <v>61</v>
      </c>
      <c r="U10" s="1136">
        <f t="shared" si="1"/>
        <v>100</v>
      </c>
      <c r="V10" s="1135" t="s">
        <v>61</v>
      </c>
      <c r="W10" s="1136">
        <f t="shared" si="2"/>
        <v>100</v>
      </c>
      <c r="X10" s="184"/>
      <c r="Y10" s="3250"/>
      <c r="Z10" s="185" t="str">
        <f t="shared" si="7"/>
        <v>土地使用年限（年）</v>
      </c>
      <c r="AA10" s="1137">
        <f t="shared" si="3"/>
        <v>1</v>
      </c>
      <c r="AB10" s="1137">
        <f t="shared" si="4"/>
        <v>1</v>
      </c>
      <c r="AC10" s="1137">
        <f t="shared" si="5"/>
        <v>1</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49"/>
      <c r="Q11" s="2" t="str">
        <f t="shared" si="6"/>
        <v>容积率</v>
      </c>
      <c r="R11" s="1135" t="s">
        <v>99</v>
      </c>
      <c r="S11" s="1136">
        <f t="shared" si="0"/>
        <v>100</v>
      </c>
      <c r="T11" s="1135" t="s">
        <v>99</v>
      </c>
      <c r="U11" s="1136">
        <f t="shared" si="1"/>
        <v>100</v>
      </c>
      <c r="V11" s="1135" t="s">
        <v>99</v>
      </c>
      <c r="W11" s="1136">
        <f t="shared" si="2"/>
        <v>100</v>
      </c>
      <c r="X11" s="184"/>
      <c r="Y11" s="3250"/>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49"/>
      <c r="Q12" s="2">
        <f t="shared" si="6"/>
        <v>111</v>
      </c>
      <c r="R12" s="1135" t="s">
        <v>99</v>
      </c>
      <c r="S12" s="1136">
        <f t="shared" si="0"/>
        <v>100</v>
      </c>
      <c r="T12" s="1135" t="s">
        <v>99</v>
      </c>
      <c r="U12" s="1136">
        <f t="shared" si="1"/>
        <v>100</v>
      </c>
      <c r="V12" s="1135" t="s">
        <v>99</v>
      </c>
      <c r="W12" s="1136">
        <f t="shared" si="2"/>
        <v>100</v>
      </c>
      <c r="X12" s="184"/>
      <c r="Y12" s="3250"/>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49"/>
      <c r="Q13" s="2">
        <f t="shared" si="6"/>
        <v>111</v>
      </c>
      <c r="R13" s="1135" t="s">
        <v>99</v>
      </c>
      <c r="S13" s="1136">
        <f t="shared" si="0"/>
        <v>100</v>
      </c>
      <c r="T13" s="1135" t="s">
        <v>99</v>
      </c>
      <c r="U13" s="1136">
        <f t="shared" si="1"/>
        <v>100</v>
      </c>
      <c r="V13" s="1135" t="s">
        <v>99</v>
      </c>
      <c r="W13" s="1136">
        <f t="shared" si="2"/>
        <v>100</v>
      </c>
      <c r="X13" s="184"/>
      <c r="Y13" s="3250"/>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49"/>
      <c r="Q14" s="2">
        <f t="shared" si="6"/>
        <v>111</v>
      </c>
      <c r="R14" s="1135" t="s">
        <v>99</v>
      </c>
      <c r="S14" s="1136">
        <f t="shared" si="0"/>
        <v>100</v>
      </c>
      <c r="T14" s="1135" t="s">
        <v>99</v>
      </c>
      <c r="U14" s="1136">
        <f t="shared" si="1"/>
        <v>100</v>
      </c>
      <c r="V14" s="1135" t="s">
        <v>99</v>
      </c>
      <c r="W14" s="1136">
        <f t="shared" si="2"/>
        <v>100</v>
      </c>
      <c r="X14" s="184"/>
      <c r="Y14" s="3250"/>
      <c r="Z14" s="185">
        <f t="shared" si="7"/>
        <v>111</v>
      </c>
      <c r="AA14" s="1137">
        <f t="shared" si="3"/>
        <v>1</v>
      </c>
      <c r="AB14" s="1137">
        <f t="shared" si="4"/>
        <v>1</v>
      </c>
      <c r="AC14" s="1137">
        <f t="shared" si="5"/>
        <v>1</v>
      </c>
    </row>
    <row r="15" spans="1:29" ht="91.5" customHeight="1">
      <c r="A15" s="105" t="s">
        <v>65</v>
      </c>
      <c r="B15" s="19" t="s">
        <v>37</v>
      </c>
      <c r="C15" s="107" t="str">
        <f>估价对象房地状况!C3</f>
        <v>估价对象周边有天佑爱上岛、燕达首尔国际村、壹克拉公寓等住宅小区，综合评价居住社区成熟度一般</v>
      </c>
      <c r="D15" s="638">
        <v>100</v>
      </c>
      <c r="E15" s="3127" t="s">
        <v>3003</v>
      </c>
      <c r="F15" s="640">
        <f>SUMIF(76:76,E16,77:77)-SUMIF(76:76,C16,77:77)+100</f>
        <v>100</v>
      </c>
      <c r="G15" s="3127" t="s">
        <v>3003</v>
      </c>
      <c r="H15" s="638">
        <f>SUMIF(76:76,G16,77:77)-SUMIF(76:76,C16,77:77)+100</f>
        <v>100</v>
      </c>
      <c r="I15" s="3127" t="s">
        <v>3003</v>
      </c>
      <c r="J15" s="638">
        <f>SUMIF(76:76,I16,77:77)-SUMIF(76:76,C16,77:77)+100</f>
        <v>100</v>
      </c>
      <c r="K15" s="642">
        <v>1</v>
      </c>
      <c r="L15" s="2170"/>
      <c r="M15" s="2165"/>
      <c r="N15" s="2165"/>
      <c r="O15" s="2165"/>
      <c r="P15" s="3452" t="s">
        <v>65</v>
      </c>
      <c r="Q15" s="1145" t="str">
        <f t="shared" si="6"/>
        <v>居住社区成熟度</v>
      </c>
      <c r="R15" s="1146" t="s">
        <v>99</v>
      </c>
      <c r="S15" s="1147">
        <f t="shared" si="0"/>
        <v>100</v>
      </c>
      <c r="T15" s="1146" t="s">
        <v>99</v>
      </c>
      <c r="U15" s="1147">
        <f t="shared" si="1"/>
        <v>100</v>
      </c>
      <c r="V15" s="1146" t="s">
        <v>99</v>
      </c>
      <c r="W15" s="1147">
        <f t="shared" si="2"/>
        <v>100</v>
      </c>
      <c r="X15" s="1133"/>
      <c r="Y15" s="3439" t="s">
        <v>65</v>
      </c>
      <c r="Z15" s="1148" t="str">
        <f t="shared" si="7"/>
        <v>居住社区成熟度</v>
      </c>
      <c r="AA15" s="1149">
        <f t="shared" si="3"/>
        <v>1</v>
      </c>
      <c r="AB15" s="1149">
        <f t="shared" si="4"/>
        <v>1</v>
      </c>
      <c r="AC15" s="1149">
        <f t="shared" si="5"/>
        <v>1</v>
      </c>
    </row>
    <row r="16" spans="1:29" ht="14.25">
      <c r="A16" s="98"/>
      <c r="B16" s="106"/>
      <c r="C16" s="44" t="s">
        <v>103</v>
      </c>
      <c r="D16" s="645"/>
      <c r="E16" s="45" t="s">
        <v>103</v>
      </c>
      <c r="F16" s="647"/>
      <c r="G16" s="46" t="s">
        <v>103</v>
      </c>
      <c r="H16" s="648"/>
      <c r="I16" s="45" t="s">
        <v>103</v>
      </c>
      <c r="J16" s="645"/>
      <c r="K16" s="109"/>
      <c r="L16" s="2170"/>
      <c r="M16" s="2165"/>
      <c r="N16" s="2165"/>
      <c r="O16" s="2165"/>
      <c r="P16" s="3453"/>
      <c r="Q16" s="1145"/>
      <c r="R16" s="1146"/>
      <c r="S16" s="1147"/>
      <c r="T16" s="1146"/>
      <c r="U16" s="1147"/>
      <c r="V16" s="1146"/>
      <c r="W16" s="1147"/>
      <c r="X16" s="1133"/>
      <c r="Y16" s="3440"/>
      <c r="Z16" s="1148"/>
      <c r="AA16" s="1149">
        <v>1</v>
      </c>
      <c r="AB16" s="1149">
        <v>1</v>
      </c>
      <c r="AC16" s="1149">
        <v>1</v>
      </c>
    </row>
    <row r="17" spans="1:29" ht="114" customHeight="1">
      <c r="A17" s="98"/>
      <c r="B17" s="1150" t="s">
        <v>67</v>
      </c>
      <c r="C17" s="108" t="str">
        <f>估价对象房地状况!C6</f>
        <v>以估价对象为中心半径2公里范围内最高级别道路为城市次干道——燕灵路，有快速直达专线61路，综合评价交通便捷度一般</v>
      </c>
      <c r="D17" s="648">
        <v>100</v>
      </c>
      <c r="E17" s="3129" t="s">
        <v>3005</v>
      </c>
      <c r="F17" s="651">
        <f>SUMIF(78:78,E18,79:79)-SUMIF(78:78,C18,79:79)+100</f>
        <v>100</v>
      </c>
      <c r="G17" s="3129" t="s">
        <v>3005</v>
      </c>
      <c r="H17" s="653">
        <f>SUMIF(78:78,G18,79:79)-SUMIF(78:78,C18,79:79)+100</f>
        <v>100</v>
      </c>
      <c r="I17" s="3129" t="s">
        <v>3005</v>
      </c>
      <c r="J17" s="653">
        <f>SUMIF(78:78,I18,79:79)-SUMIF(78:78,C18,79:79)+100</f>
        <v>100</v>
      </c>
      <c r="K17" s="642">
        <v>1</v>
      </c>
      <c r="L17" s="2170"/>
      <c r="M17" s="2165"/>
      <c r="N17" s="2165"/>
      <c r="O17" s="2165"/>
      <c r="P17" s="3453"/>
      <c r="Q17" s="1145" t="str">
        <f>B17</f>
        <v>交通便捷度</v>
      </c>
      <c r="R17" s="1146" t="s">
        <v>99</v>
      </c>
      <c r="S17" s="1147">
        <f>F17</f>
        <v>100</v>
      </c>
      <c r="T17" s="1146" t="s">
        <v>99</v>
      </c>
      <c r="U17" s="1147">
        <f>H17</f>
        <v>100</v>
      </c>
      <c r="V17" s="1146" t="s">
        <v>99</v>
      </c>
      <c r="W17" s="1147">
        <f>J17</f>
        <v>100</v>
      </c>
      <c r="X17" s="1133"/>
      <c r="Y17" s="3440"/>
      <c r="Z17" s="1148" t="str">
        <f>Q17</f>
        <v>交通便捷度</v>
      </c>
      <c r="AA17" s="1149">
        <f t="shared" si="3"/>
        <v>1</v>
      </c>
      <c r="AB17" s="1149">
        <f t="shared" si="4"/>
        <v>1</v>
      </c>
      <c r="AC17" s="1149">
        <f t="shared" si="5"/>
        <v>1</v>
      </c>
    </row>
    <row r="18" spans="1:29" ht="14.25">
      <c r="A18" s="98"/>
      <c r="B18" s="899"/>
      <c r="C18" s="49" t="s">
        <v>103</v>
      </c>
      <c r="D18" s="648"/>
      <c r="E18" s="50" t="s">
        <v>103</v>
      </c>
      <c r="F18" s="651"/>
      <c r="G18" s="51" t="s">
        <v>103</v>
      </c>
      <c r="H18" s="645"/>
      <c r="I18" s="50" t="s">
        <v>103</v>
      </c>
      <c r="J18" s="645"/>
      <c r="K18" s="109"/>
      <c r="L18" s="2170"/>
      <c r="M18" s="2165"/>
      <c r="N18" s="2165"/>
      <c r="O18" s="2165"/>
      <c r="P18" s="3453"/>
      <c r="Q18" s="1145"/>
      <c r="R18" s="1146"/>
      <c r="S18" s="1147"/>
      <c r="T18" s="1146"/>
      <c r="U18" s="1147"/>
      <c r="V18" s="1146"/>
      <c r="W18" s="1147"/>
      <c r="X18" s="1133"/>
      <c r="Y18" s="3440"/>
      <c r="Z18" s="1148"/>
      <c r="AA18" s="1149">
        <v>1</v>
      </c>
      <c r="AB18" s="1149">
        <v>1</v>
      </c>
      <c r="AC18" s="1149">
        <v>1</v>
      </c>
    </row>
    <row r="19" spans="1:29" ht="41.25" customHeight="1">
      <c r="A19" s="98"/>
      <c r="B19" s="1150" t="s">
        <v>2536</v>
      </c>
      <c r="C19" s="108" t="str">
        <f>估价对象房地状况!C7</f>
        <v>估价对象所在区域公共配套设施成熟度一般</v>
      </c>
      <c r="D19" s="653">
        <v>100</v>
      </c>
      <c r="E19" s="3129" t="s">
        <v>3007</v>
      </c>
      <c r="F19" s="657">
        <f>SUMIF(80:80,E20,81:81)-SUMIF(80:80,C20,81:81)+100</f>
        <v>100</v>
      </c>
      <c r="G19" s="3129" t="s">
        <v>3007</v>
      </c>
      <c r="H19" s="648">
        <f>SUMIF(80:80,G20,81:81)-SUMIF(80:80,C20,81:81)+100</f>
        <v>100</v>
      </c>
      <c r="I19" s="3129" t="s">
        <v>3007</v>
      </c>
      <c r="J19" s="648">
        <f>SUMIF(80:80,I20,81:81)-SUMIF(80:80,C20,81:81)+100</f>
        <v>100</v>
      </c>
      <c r="K19" s="642">
        <v>1</v>
      </c>
      <c r="L19" s="2170"/>
      <c r="M19" s="2165"/>
      <c r="N19" s="2165"/>
      <c r="O19" s="2165"/>
      <c r="P19" s="3453"/>
      <c r="Q19" s="1145" t="str">
        <f>B19</f>
        <v>公共配套设施</v>
      </c>
      <c r="R19" s="1146" t="s">
        <v>99</v>
      </c>
      <c r="S19" s="1147">
        <f>F19</f>
        <v>100</v>
      </c>
      <c r="T19" s="1146" t="s">
        <v>99</v>
      </c>
      <c r="U19" s="1147">
        <f>H19</f>
        <v>100</v>
      </c>
      <c r="V19" s="1146" t="s">
        <v>99</v>
      </c>
      <c r="W19" s="1147">
        <f>J19</f>
        <v>100</v>
      </c>
      <c r="X19" s="1133"/>
      <c r="Y19" s="3440"/>
      <c r="Z19" s="1148" t="str">
        <f>Q19</f>
        <v>公共配套设施</v>
      </c>
      <c r="AA19" s="1149">
        <f t="shared" si="3"/>
        <v>1</v>
      </c>
      <c r="AB19" s="1149">
        <f t="shared" si="4"/>
        <v>1</v>
      </c>
      <c r="AC19" s="1149">
        <f t="shared" si="5"/>
        <v>1</v>
      </c>
    </row>
    <row r="20" spans="1:29" ht="14.25">
      <c r="A20" s="98"/>
      <c r="B20" s="899"/>
      <c r="C20" s="44" t="s">
        <v>103</v>
      </c>
      <c r="D20" s="645"/>
      <c r="E20" s="45" t="s">
        <v>103</v>
      </c>
      <c r="F20" s="647"/>
      <c r="G20" s="46" t="s">
        <v>103</v>
      </c>
      <c r="H20" s="645"/>
      <c r="I20" s="45" t="s">
        <v>103</v>
      </c>
      <c r="J20" s="645"/>
      <c r="K20" s="109"/>
      <c r="L20" s="2170"/>
      <c r="M20" s="2165"/>
      <c r="N20" s="2165"/>
      <c r="O20" s="2165"/>
      <c r="P20" s="3453"/>
      <c r="Q20" s="1145"/>
      <c r="R20" s="1146"/>
      <c r="S20" s="1147"/>
      <c r="T20" s="1146"/>
      <c r="U20" s="1147"/>
      <c r="V20" s="1146"/>
      <c r="W20" s="1147"/>
      <c r="X20" s="1133"/>
      <c r="Y20" s="3440"/>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2984</v>
      </c>
      <c r="F21" s="657">
        <f>SUMIF(82:82,E22,83:83)-SUMIF(82:82,C22,83:83)+100</f>
        <v>100</v>
      </c>
      <c r="G21" s="3129" t="s">
        <v>2984</v>
      </c>
      <c r="H21" s="648">
        <f>SUMIF(82:82,G22,83:83)-SUMIF(82:82,C22,83:83)+100</f>
        <v>100</v>
      </c>
      <c r="I21" s="3129" t="s">
        <v>2984</v>
      </c>
      <c r="J21" s="648">
        <f>SUMIF(82:82,I22,83:83)-SUMIF(82:82,C22,83:83)+100</f>
        <v>100</v>
      </c>
      <c r="K21" s="642">
        <v>1</v>
      </c>
      <c r="L21" s="2170"/>
      <c r="M21" s="2165"/>
      <c r="N21" s="2165"/>
      <c r="O21" s="2165"/>
      <c r="P21" s="3453"/>
      <c r="Q21" s="2550" t="str">
        <f>B21</f>
        <v>基础设施水平</v>
      </c>
      <c r="R21" s="1146" t="s">
        <v>99</v>
      </c>
      <c r="S21" s="1147">
        <f>F21</f>
        <v>100</v>
      </c>
      <c r="T21" s="1146" t="s">
        <v>99</v>
      </c>
      <c r="U21" s="1147">
        <f>H21</f>
        <v>100</v>
      </c>
      <c r="V21" s="1146" t="s">
        <v>99</v>
      </c>
      <c r="W21" s="1147">
        <f>J21</f>
        <v>100</v>
      </c>
      <c r="X21" s="2548"/>
      <c r="Y21" s="3440"/>
      <c r="Z21" s="2549" t="str">
        <f>Q21</f>
        <v>基础设施水平</v>
      </c>
      <c r="AA21" s="1149">
        <f t="shared" ref="AA21" si="8">D21/F21</f>
        <v>1</v>
      </c>
      <c r="AB21" s="1149">
        <f t="shared" ref="AB21" si="9">D21/H21</f>
        <v>1</v>
      </c>
      <c r="AC21" s="1149">
        <f t="shared" ref="AC21" si="10">D21/J21</f>
        <v>1</v>
      </c>
    </row>
    <row r="22" spans="1:29" ht="14.25">
      <c r="A22" s="98"/>
      <c r="B22" s="1205"/>
      <c r="C22" s="49" t="s">
        <v>2975</v>
      </c>
      <c r="D22" s="645"/>
      <c r="E22" s="44" t="s">
        <v>2975</v>
      </c>
      <c r="F22" s="647"/>
      <c r="G22" s="44" t="s">
        <v>2975</v>
      </c>
      <c r="H22" s="645"/>
      <c r="I22" s="44" t="s">
        <v>2975</v>
      </c>
      <c r="J22" s="645"/>
      <c r="K22" s="2559"/>
      <c r="L22" s="2170"/>
      <c r="M22" s="2165"/>
      <c r="N22" s="2165"/>
      <c r="O22" s="2165"/>
      <c r="P22" s="3453"/>
      <c r="Q22" s="2550"/>
      <c r="R22" s="1146"/>
      <c r="S22" s="1147"/>
      <c r="T22" s="1146"/>
      <c r="U22" s="1147"/>
      <c r="V22" s="1146"/>
      <c r="W22" s="1147"/>
      <c r="X22" s="2548"/>
      <c r="Y22" s="3440"/>
      <c r="Z22" s="2549"/>
      <c r="AA22" s="1149">
        <v>1</v>
      </c>
      <c r="AB22" s="1149">
        <v>1</v>
      </c>
      <c r="AC22" s="1149">
        <v>1</v>
      </c>
    </row>
    <row r="23" spans="1:29" ht="106.5" customHeight="1">
      <c r="A23" s="98"/>
      <c r="B23" s="1150" t="s">
        <v>68</v>
      </c>
      <c r="C23" s="108" t="str">
        <f>估价对象房地状况!C9</f>
        <v>区域自然环境：燕郊滨河森林公园东区、燕郊植物园等；人文环境：燕京理工学院；综合评价环境状况较好</v>
      </c>
      <c r="D23" s="648">
        <v>100</v>
      </c>
      <c r="E23" s="3128" t="s">
        <v>3025</v>
      </c>
      <c r="F23" s="651">
        <f>SUMIF(84:84,E24,85:85)-SUMIF(84:84,C24,85:85)+100</f>
        <v>100</v>
      </c>
      <c r="G23" s="3128" t="s">
        <v>3008</v>
      </c>
      <c r="H23" s="648">
        <f>SUMIF(84:84,G24,85:85)-SUMIF(84:84,C24,85:85)+100</f>
        <v>100</v>
      </c>
      <c r="I23" s="3128" t="s">
        <v>3008</v>
      </c>
      <c r="J23" s="648">
        <f>SUMIF(84:84,I24,85:85)-SUMIF(84:84,C24,85:85)+100</f>
        <v>100</v>
      </c>
      <c r="K23" s="642">
        <v>1</v>
      </c>
      <c r="L23" s="2170"/>
      <c r="M23" s="2165"/>
      <c r="N23" s="2165"/>
      <c r="O23" s="2165"/>
      <c r="P23" s="3453"/>
      <c r="Q23" s="1145" t="str">
        <f>B23</f>
        <v>自然及人文环境</v>
      </c>
      <c r="R23" s="1146" t="s">
        <v>99</v>
      </c>
      <c r="S23" s="1147">
        <f>F23</f>
        <v>100</v>
      </c>
      <c r="T23" s="1146" t="s">
        <v>99</v>
      </c>
      <c r="U23" s="1147">
        <f>H23</f>
        <v>100</v>
      </c>
      <c r="V23" s="1146" t="s">
        <v>99</v>
      </c>
      <c r="W23" s="1147">
        <f>J23</f>
        <v>100</v>
      </c>
      <c r="X23" s="1133"/>
      <c r="Y23" s="3440"/>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53"/>
      <c r="Q24" s="1145"/>
      <c r="R24" s="1146"/>
      <c r="S24" s="1147"/>
      <c r="T24" s="1146"/>
      <c r="U24" s="1147"/>
      <c r="V24" s="1146"/>
      <c r="W24" s="1147"/>
      <c r="X24" s="1133"/>
      <c r="Y24" s="3440"/>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53"/>
      <c r="Q25" s="1145" t="str">
        <f t="shared" ref="Q25:Q46" si="11">B25</f>
        <v>楼层-1</v>
      </c>
      <c r="R25" s="1146" t="s">
        <v>99</v>
      </c>
      <c r="S25" s="1147">
        <f>F25</f>
        <v>100</v>
      </c>
      <c r="T25" s="1146" t="s">
        <v>99</v>
      </c>
      <c r="U25" s="1147">
        <f>H25</f>
        <v>100</v>
      </c>
      <c r="V25" s="1146" t="s">
        <v>99</v>
      </c>
      <c r="W25" s="1147">
        <f>J25</f>
        <v>100</v>
      </c>
      <c r="X25" s="1133"/>
      <c r="Y25" s="3440"/>
      <c r="Z25" s="1148" t="str">
        <f>Q25</f>
        <v>楼层-1</v>
      </c>
      <c r="AA25" s="1149">
        <f t="shared" si="3"/>
        <v>1</v>
      </c>
      <c r="AB25" s="1149">
        <f t="shared" si="4"/>
        <v>1</v>
      </c>
      <c r="AC25" s="1149">
        <f t="shared" si="5"/>
        <v>1</v>
      </c>
    </row>
    <row r="26" spans="1:29" ht="15">
      <c r="A26" s="98"/>
      <c r="B26" s="4" t="s">
        <v>69</v>
      </c>
      <c r="C26" s="54" t="s">
        <v>2996</v>
      </c>
      <c r="D26" s="633">
        <v>100</v>
      </c>
      <c r="E26" s="55" t="s">
        <v>2996</v>
      </c>
      <c r="F26" s="660">
        <f>SUMIF(88:88,E26,89:89)-SUMIF(88:88,C26,89:89)+100</f>
        <v>100</v>
      </c>
      <c r="G26" s="56" t="s">
        <v>2977</v>
      </c>
      <c r="H26" s="633">
        <f>SUMIF(88:88,G26,89:89)-SUMIF(88:88,C26,89:89)+100</f>
        <v>97</v>
      </c>
      <c r="I26" s="55" t="s">
        <v>2996</v>
      </c>
      <c r="J26" s="633">
        <f>SUMIF(88:88,I26,89:89)-SUMIF(88:88,C26,89:89)+100</f>
        <v>100</v>
      </c>
      <c r="K26" s="624">
        <v>1</v>
      </c>
      <c r="L26" s="2170"/>
      <c r="M26" s="2165"/>
      <c r="N26" s="2165"/>
      <c r="O26" s="2165"/>
      <c r="P26" s="3453"/>
      <c r="Q26" s="1145" t="str">
        <f t="shared" si="11"/>
        <v>朝向</v>
      </c>
      <c r="R26" s="1146" t="s">
        <v>99</v>
      </c>
      <c r="S26" s="1147">
        <f>F26</f>
        <v>100</v>
      </c>
      <c r="T26" s="1146" t="s">
        <v>99</v>
      </c>
      <c r="U26" s="1147">
        <f>H26</f>
        <v>97</v>
      </c>
      <c r="V26" s="1146" t="s">
        <v>99</v>
      </c>
      <c r="W26" s="1147">
        <f>J26</f>
        <v>100</v>
      </c>
      <c r="X26" s="1133"/>
      <c r="Y26" s="3440"/>
      <c r="Z26" s="1148" t="str">
        <f>Q26</f>
        <v>朝向</v>
      </c>
      <c r="AA26" s="1149">
        <f t="shared" si="3"/>
        <v>1</v>
      </c>
      <c r="AB26" s="1149">
        <f t="shared" si="4"/>
        <v>1.0309278350515463</v>
      </c>
      <c r="AC26" s="1149">
        <f t="shared" si="5"/>
        <v>1</v>
      </c>
    </row>
    <row r="27" spans="1:29" s="11" customFormat="1" ht="14.25">
      <c r="A27" s="888"/>
      <c r="B27" s="889" t="s">
        <v>909</v>
      </c>
      <c r="C27" s="882" t="s">
        <v>3015</v>
      </c>
      <c r="D27" s="661">
        <v>100</v>
      </c>
      <c r="E27" s="882" t="s">
        <v>3014</v>
      </c>
      <c r="F27" s="663">
        <f>SUMIF(90:90,E27,91:91)-SUMIF(90:90,C27,91:91)+100</f>
        <v>100</v>
      </c>
      <c r="G27" s="882" t="s">
        <v>3014</v>
      </c>
      <c r="H27" s="661">
        <f>SUMIF(90:90,G27,91:91)-SUMIF(90:90,C27,91:91)+100</f>
        <v>100</v>
      </c>
      <c r="I27" s="882" t="s">
        <v>3014</v>
      </c>
      <c r="J27" s="661">
        <f>SUMIF(90:90,I27,91:91)-SUMIF(90:90,C27,91:91)+100</f>
        <v>100</v>
      </c>
      <c r="K27" s="100"/>
      <c r="L27" s="2166"/>
      <c r="M27" s="2108"/>
      <c r="N27" s="2108"/>
      <c r="O27" s="2108"/>
      <c r="P27" s="3453"/>
      <c r="Q27" s="2" t="str">
        <f t="shared" si="11"/>
        <v>道路级别</v>
      </c>
      <c r="R27" s="1135" t="s">
        <v>99</v>
      </c>
      <c r="S27" s="1136">
        <f>F27</f>
        <v>100</v>
      </c>
      <c r="T27" s="1135" t="s">
        <v>99</v>
      </c>
      <c r="U27" s="1136">
        <f>H27</f>
        <v>100</v>
      </c>
      <c r="V27" s="1135" t="s">
        <v>99</v>
      </c>
      <c r="W27" s="1136">
        <f>J27</f>
        <v>100</v>
      </c>
      <c r="X27" s="184"/>
      <c r="Y27" s="3440"/>
      <c r="Z27" s="185" t="str">
        <f>Q27</f>
        <v>道路级别</v>
      </c>
      <c r="AA27" s="1149">
        <f>D27/F27</f>
        <v>1</v>
      </c>
      <c r="AB27" s="1149">
        <f>D27/H27</f>
        <v>1</v>
      </c>
      <c r="AC27" s="1149">
        <f>D27/J27</f>
        <v>1</v>
      </c>
    </row>
    <row r="28" spans="1:29" ht="14.25">
      <c r="A28" s="98"/>
      <c r="B28" s="1151" t="s">
        <v>2950</v>
      </c>
      <c r="C28" s="40">
        <v>2015</v>
      </c>
      <c r="D28" s="633">
        <v>100</v>
      </c>
      <c r="E28" s="40">
        <v>2014</v>
      </c>
      <c r="F28" s="660">
        <f>SUMIF(92:92,E28,93:93)-SUMIF(92:92,C28,93:93)+100</f>
        <v>99.5</v>
      </c>
      <c r="G28" s="40">
        <v>2015</v>
      </c>
      <c r="H28" s="633">
        <f>SUMIF(92:92,G28,93:93)-SUMIF(92:92,C28,93:93)+100</f>
        <v>100</v>
      </c>
      <c r="I28" s="40">
        <v>2014</v>
      </c>
      <c r="J28" s="633">
        <f>SUMIF(92:92,I28,93:93)-SUMIF(92:92,C28,93:93)+100</f>
        <v>99.5</v>
      </c>
      <c r="K28" s="100"/>
      <c r="L28" s="2170"/>
      <c r="M28" s="2165"/>
      <c r="N28" s="2165"/>
      <c r="O28" s="2165"/>
      <c r="P28" s="3453"/>
      <c r="Q28" s="1145" t="str">
        <f t="shared" si="11"/>
        <v>建成年代</v>
      </c>
      <c r="R28" s="1146" t="s">
        <v>99</v>
      </c>
      <c r="S28" s="1147">
        <f t="shared" ref="S28:S46" si="12">F28</f>
        <v>99.5</v>
      </c>
      <c r="T28" s="1146" t="s">
        <v>99</v>
      </c>
      <c r="U28" s="1147">
        <f t="shared" ref="U28:U46" si="13">H28</f>
        <v>100</v>
      </c>
      <c r="V28" s="1146" t="s">
        <v>99</v>
      </c>
      <c r="W28" s="1147">
        <f t="shared" ref="W28:W46" si="14">J28</f>
        <v>99.5</v>
      </c>
      <c r="X28" s="1133"/>
      <c r="Y28" s="3440"/>
      <c r="Z28" s="1148" t="str">
        <f t="shared" ref="Z28:Z46" si="15">Q28</f>
        <v>建成年代</v>
      </c>
      <c r="AA28" s="1149">
        <f t="shared" si="3"/>
        <v>1.0050251256281406</v>
      </c>
      <c r="AB28" s="1149">
        <f t="shared" si="4"/>
        <v>1</v>
      </c>
      <c r="AC28" s="1149">
        <f t="shared" si="5"/>
        <v>1.0050251256281406</v>
      </c>
    </row>
    <row r="29" spans="1:29" ht="14.25" hidden="1">
      <c r="A29" s="98"/>
      <c r="B29" s="1151"/>
      <c r="C29" s="40"/>
      <c r="D29" s="633">
        <v>100</v>
      </c>
      <c r="E29" s="40"/>
      <c r="F29" s="660">
        <f>SUMIF(94:94,E29,95:95)-SUMIF(94:94,C29,95:95)+100</f>
        <v>100</v>
      </c>
      <c r="G29" s="40"/>
      <c r="H29" s="633">
        <f>SUMIF(94:94,G29,95:95)-SUMIF(94:94,C29,95:95)+100</f>
        <v>100</v>
      </c>
      <c r="I29" s="40"/>
      <c r="J29" s="633">
        <f>SUMIF(94:94,I29,95:95)-SUMIF(94:94,C29,95:95)+100</f>
        <v>100</v>
      </c>
      <c r="K29" s="100"/>
      <c r="L29" s="2170"/>
      <c r="M29" s="2165"/>
      <c r="N29" s="2165"/>
      <c r="O29" s="2165"/>
      <c r="P29" s="3453"/>
      <c r="Q29" s="1145">
        <f t="shared" si="11"/>
        <v>0</v>
      </c>
      <c r="R29" s="1146" t="s">
        <v>99</v>
      </c>
      <c r="S29" s="1147">
        <f t="shared" si="12"/>
        <v>100</v>
      </c>
      <c r="T29" s="1146" t="s">
        <v>99</v>
      </c>
      <c r="U29" s="1147">
        <f t="shared" si="13"/>
        <v>100</v>
      </c>
      <c r="V29" s="1146" t="s">
        <v>99</v>
      </c>
      <c r="W29" s="1147">
        <f t="shared" si="14"/>
        <v>100</v>
      </c>
      <c r="X29" s="1133"/>
      <c r="Y29" s="3440"/>
      <c r="Z29" s="1148">
        <f t="shared" si="15"/>
        <v>0</v>
      </c>
      <c r="AA29" s="1149">
        <f t="shared" si="3"/>
        <v>1</v>
      </c>
      <c r="AB29" s="1149">
        <f t="shared" si="4"/>
        <v>1</v>
      </c>
      <c r="AC29" s="1149">
        <f t="shared" si="5"/>
        <v>1</v>
      </c>
    </row>
    <row r="30" spans="1:29" ht="14.25" hidden="1">
      <c r="A30" s="98"/>
      <c r="B30" s="1151"/>
      <c r="C30" s="40"/>
      <c r="D30" s="633">
        <v>100</v>
      </c>
      <c r="E30" s="40"/>
      <c r="F30" s="660">
        <f>SUMIF(96:96,E30,97:97)-SUMIF(96:96,C30,97:97)+100</f>
        <v>100</v>
      </c>
      <c r="G30" s="40"/>
      <c r="H30" s="633">
        <f>SUMIF(96:96,G30,97:97)-SUMIF(96:96,C30,97:97)+100</f>
        <v>100</v>
      </c>
      <c r="I30" s="40"/>
      <c r="J30" s="633">
        <f>SUMIF(96:96,I30,97:97)-SUMIF(96:96,C30,97:97)+100</f>
        <v>100</v>
      </c>
      <c r="K30" s="100"/>
      <c r="L30" s="2170"/>
      <c r="M30" s="2165"/>
      <c r="N30" s="2165"/>
      <c r="O30" s="2165"/>
      <c r="P30" s="3453"/>
      <c r="Q30" s="1145">
        <f t="shared" si="11"/>
        <v>0</v>
      </c>
      <c r="R30" s="1146" t="s">
        <v>99</v>
      </c>
      <c r="S30" s="1147">
        <f t="shared" si="12"/>
        <v>100</v>
      </c>
      <c r="T30" s="1146" t="s">
        <v>99</v>
      </c>
      <c r="U30" s="1147">
        <f t="shared" si="13"/>
        <v>100</v>
      </c>
      <c r="V30" s="1146" t="s">
        <v>99</v>
      </c>
      <c r="W30" s="1147">
        <f t="shared" si="14"/>
        <v>100</v>
      </c>
      <c r="X30" s="1133"/>
      <c r="Y30" s="3440"/>
      <c r="Z30" s="1148">
        <f t="shared" si="15"/>
        <v>0</v>
      </c>
      <c r="AA30" s="1149">
        <f t="shared" si="3"/>
        <v>1</v>
      </c>
      <c r="AB30" s="1149">
        <f t="shared" si="4"/>
        <v>1</v>
      </c>
      <c r="AC30" s="1149">
        <f t="shared" si="5"/>
        <v>1</v>
      </c>
    </row>
    <row r="31" spans="1:29" ht="15" thickBot="1">
      <c r="A31" s="101"/>
      <c r="B31" s="1151" t="s">
        <v>2294</v>
      </c>
      <c r="C31" s="40" t="s">
        <v>3017</v>
      </c>
      <c r="D31" s="635">
        <v>100</v>
      </c>
      <c r="E31" s="40" t="s">
        <v>3021</v>
      </c>
      <c r="F31" s="636">
        <f>SUMIF(98:98,E31,99:99)-SUMIF(98:98,C31,99:99)+100</f>
        <v>103</v>
      </c>
      <c r="G31" s="40" t="s">
        <v>3016</v>
      </c>
      <c r="H31" s="635">
        <f>SUMIF(98:98,G31,99:99)-SUMIF(98:98,C31,99:99)+100</f>
        <v>103</v>
      </c>
      <c r="I31" s="40" t="s">
        <v>3023</v>
      </c>
      <c r="J31" s="635">
        <f>SUMIF(98:98,I31,99:99)-SUMIF(98:98,C31,99:99)+100</f>
        <v>101.5</v>
      </c>
      <c r="K31" s="100"/>
      <c r="L31" s="2170"/>
      <c r="M31" s="2165"/>
      <c r="N31" s="2165"/>
      <c r="O31" s="2165"/>
      <c r="P31" s="3453"/>
      <c r="Q31" s="1145" t="str">
        <f t="shared" si="11"/>
        <v>楼层</v>
      </c>
      <c r="R31" s="1146" t="s">
        <v>99</v>
      </c>
      <c r="S31" s="1147">
        <f t="shared" si="12"/>
        <v>103</v>
      </c>
      <c r="T31" s="1146" t="s">
        <v>99</v>
      </c>
      <c r="U31" s="1147">
        <f t="shared" si="13"/>
        <v>103</v>
      </c>
      <c r="V31" s="1146" t="s">
        <v>99</v>
      </c>
      <c r="W31" s="1147">
        <f t="shared" si="14"/>
        <v>101.5</v>
      </c>
      <c r="X31" s="1133"/>
      <c r="Y31" s="3440"/>
      <c r="Z31" s="1148" t="str">
        <f t="shared" si="15"/>
        <v>楼层</v>
      </c>
      <c r="AA31" s="1149">
        <f t="shared" si="3"/>
        <v>0.970873786407767</v>
      </c>
      <c r="AB31" s="1149">
        <f t="shared" si="4"/>
        <v>0.970873786407767</v>
      </c>
      <c r="AC31" s="1149">
        <f t="shared" si="5"/>
        <v>0.98522167487684731</v>
      </c>
    </row>
    <row r="32" spans="1:29" ht="15">
      <c r="A32" s="105" t="s">
        <v>910</v>
      </c>
      <c r="B32" s="20" t="s">
        <v>70</v>
      </c>
      <c r="C32" s="57" t="s">
        <v>3018</v>
      </c>
      <c r="D32" s="122">
        <v>100</v>
      </c>
      <c r="E32" s="58" t="s">
        <v>3018</v>
      </c>
      <c r="F32" s="123">
        <f>SUMIF(100:100,E32,101:101)-SUMIF(100:100,C32,101:101)+100</f>
        <v>100</v>
      </c>
      <c r="G32" s="57" t="s">
        <v>3018</v>
      </c>
      <c r="H32" s="122">
        <f>SUMIF(100:100,G32,101:101)-SUMIF(100:100,C32,101:101)+100</f>
        <v>100</v>
      </c>
      <c r="I32" s="58" t="s">
        <v>3018</v>
      </c>
      <c r="J32" s="102">
        <f>SUMIF(100:100,I32,101:101)-SUMIF(100:100,C32,101:101)+100</f>
        <v>100</v>
      </c>
      <c r="K32" s="624">
        <v>5</v>
      </c>
      <c r="L32" s="2170"/>
      <c r="M32" s="2165"/>
      <c r="N32" s="2165"/>
      <c r="O32" s="2165"/>
      <c r="P32" s="3441" t="s">
        <v>66</v>
      </c>
      <c r="Q32" s="1145" t="str">
        <f t="shared" si="11"/>
        <v>建筑类型</v>
      </c>
      <c r="R32" s="1146" t="s">
        <v>99</v>
      </c>
      <c r="S32" s="1147">
        <f t="shared" si="12"/>
        <v>100</v>
      </c>
      <c r="T32" s="1146" t="s">
        <v>99</v>
      </c>
      <c r="U32" s="1147">
        <f t="shared" si="13"/>
        <v>100</v>
      </c>
      <c r="V32" s="1146" t="s">
        <v>99</v>
      </c>
      <c r="W32" s="1147">
        <f t="shared" si="14"/>
        <v>100</v>
      </c>
      <c r="X32" s="1133"/>
      <c r="Y32" s="3444" t="s">
        <v>66</v>
      </c>
      <c r="Z32" s="1148" t="str">
        <f t="shared" si="15"/>
        <v>建筑类型</v>
      </c>
      <c r="AA32" s="1149">
        <f t="shared" si="3"/>
        <v>1</v>
      </c>
      <c r="AB32" s="1149">
        <f t="shared" si="4"/>
        <v>1</v>
      </c>
      <c r="AC32" s="1149">
        <f t="shared" si="5"/>
        <v>1</v>
      </c>
    </row>
    <row r="33" spans="1:29" s="898" customFormat="1" ht="14.25">
      <c r="A33" s="902"/>
      <c r="B33" s="4" t="s">
        <v>71</v>
      </c>
      <c r="C33" s="668">
        <v>80.09</v>
      </c>
      <c r="D33" s="883">
        <v>100</v>
      </c>
      <c r="E33" s="628">
        <v>86.28</v>
      </c>
      <c r="F33" s="1144">
        <f>LOOKUP(E33,103:103,104:104)-LOOKUP(C33,103:103,104:104)+100</f>
        <v>100</v>
      </c>
      <c r="G33" s="627">
        <v>84.92</v>
      </c>
      <c r="H33" s="883">
        <f>LOOKUP(G33,103:103,104:104)-LOOKUP(C33,103:103,104:104)+100</f>
        <v>100</v>
      </c>
      <c r="I33" s="628">
        <v>82.26</v>
      </c>
      <c r="J33" s="883">
        <f>LOOKUP(I33,103:103,104:104)-LOOKUP(C33,103:103,104:104)+100</f>
        <v>100</v>
      </c>
      <c r="K33" s="100"/>
      <c r="L33" s="2169"/>
      <c r="M33" s="2171"/>
      <c r="N33" s="2171"/>
      <c r="O33" s="2171"/>
      <c r="P33" s="3442"/>
      <c r="Q33" s="1153" t="str">
        <f t="shared" si="11"/>
        <v>项目建筑规模</v>
      </c>
      <c r="R33" s="1154" t="s">
        <v>99</v>
      </c>
      <c r="S33" s="1155">
        <f t="shared" si="12"/>
        <v>100</v>
      </c>
      <c r="T33" s="1154" t="s">
        <v>99</v>
      </c>
      <c r="U33" s="1155">
        <f t="shared" si="13"/>
        <v>100</v>
      </c>
      <c r="V33" s="1154" t="s">
        <v>99</v>
      </c>
      <c r="W33" s="1155">
        <f t="shared" si="14"/>
        <v>100</v>
      </c>
      <c r="X33" s="1156"/>
      <c r="Y33" s="3444"/>
      <c r="Z33" s="1157" t="str">
        <f t="shared" si="15"/>
        <v>项目建筑规模</v>
      </c>
      <c r="AA33" s="1149">
        <f t="shared" si="3"/>
        <v>1</v>
      </c>
      <c r="AB33" s="1149">
        <f t="shared" si="4"/>
        <v>1</v>
      </c>
      <c r="AC33" s="1149">
        <f t="shared" si="5"/>
        <v>1</v>
      </c>
    </row>
    <row r="34" spans="1:29" ht="15">
      <c r="A34" s="111"/>
      <c r="B34" s="4" t="s">
        <v>72</v>
      </c>
      <c r="C34" s="59" t="s">
        <v>2974</v>
      </c>
      <c r="D34" s="102">
        <v>100</v>
      </c>
      <c r="E34" s="60" t="s">
        <v>2974</v>
      </c>
      <c r="F34" s="123">
        <f>SUMIF(105:105,E34,106:106)-SUMIF(105:105,C34,106:106)+100</f>
        <v>100</v>
      </c>
      <c r="G34" s="59" t="s">
        <v>2974</v>
      </c>
      <c r="H34" s="102">
        <f>SUMIF(105:105,G34,106:106)-SUMIF(105:105,C34,106:106)+100</f>
        <v>100</v>
      </c>
      <c r="I34" s="60" t="s">
        <v>2974</v>
      </c>
      <c r="J34" s="102">
        <f>SUMIF(105:105,I34,106:106)-SUMIF(105:105,C34,106:106)+100</f>
        <v>100</v>
      </c>
      <c r="K34" s="624">
        <v>2</v>
      </c>
      <c r="L34" s="2170"/>
      <c r="M34" s="2165"/>
      <c r="N34" s="2165"/>
      <c r="O34" s="2165"/>
      <c r="P34" s="3442"/>
      <c r="Q34" s="1145" t="str">
        <f t="shared" si="11"/>
        <v>建筑结构</v>
      </c>
      <c r="R34" s="1146" t="s">
        <v>99</v>
      </c>
      <c r="S34" s="1147">
        <f t="shared" si="12"/>
        <v>100</v>
      </c>
      <c r="T34" s="1146" t="s">
        <v>99</v>
      </c>
      <c r="U34" s="1147">
        <f t="shared" si="13"/>
        <v>100</v>
      </c>
      <c r="V34" s="1146" t="s">
        <v>99</v>
      </c>
      <c r="W34" s="1147">
        <f t="shared" si="14"/>
        <v>100</v>
      </c>
      <c r="X34" s="1133"/>
      <c r="Y34" s="3444"/>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42"/>
      <c r="Q35" s="1145" t="str">
        <f t="shared" si="11"/>
        <v>建筑品质</v>
      </c>
      <c r="R35" s="1146" t="s">
        <v>99</v>
      </c>
      <c r="S35" s="1147">
        <f t="shared" si="12"/>
        <v>100</v>
      </c>
      <c r="T35" s="1146" t="s">
        <v>99</v>
      </c>
      <c r="U35" s="1147">
        <f t="shared" si="13"/>
        <v>100</v>
      </c>
      <c r="V35" s="1146" t="s">
        <v>99</v>
      </c>
      <c r="W35" s="1147">
        <f t="shared" si="14"/>
        <v>100</v>
      </c>
      <c r="X35" s="1133"/>
      <c r="Y35" s="3444"/>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2</v>
      </c>
      <c r="L36" s="2170"/>
      <c r="M36" s="2165"/>
      <c r="N36" s="2165"/>
      <c r="O36" s="2165"/>
      <c r="P36" s="3442"/>
      <c r="Q36" s="1145" t="str">
        <f t="shared" si="11"/>
        <v>公共部分装修</v>
      </c>
      <c r="R36" s="1146" t="s">
        <v>99</v>
      </c>
      <c r="S36" s="1147">
        <f t="shared" si="12"/>
        <v>100</v>
      </c>
      <c r="T36" s="1146" t="s">
        <v>99</v>
      </c>
      <c r="U36" s="1147">
        <f t="shared" si="13"/>
        <v>100</v>
      </c>
      <c r="V36" s="1146" t="s">
        <v>99</v>
      </c>
      <c r="W36" s="1147">
        <f t="shared" si="14"/>
        <v>100</v>
      </c>
      <c r="X36" s="1133"/>
      <c r="Y36" s="3444"/>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42"/>
      <c r="Q37" s="2" t="str">
        <f t="shared" si="11"/>
        <v>成新度</v>
      </c>
      <c r="R37" s="1135" t="s">
        <v>99</v>
      </c>
      <c r="S37" s="1136">
        <f t="shared" si="12"/>
        <v>100</v>
      </c>
      <c r="T37" s="1135" t="s">
        <v>99</v>
      </c>
      <c r="U37" s="1136">
        <f t="shared" si="13"/>
        <v>100</v>
      </c>
      <c r="V37" s="1135" t="s">
        <v>99</v>
      </c>
      <c r="W37" s="1136">
        <f t="shared" si="14"/>
        <v>100</v>
      </c>
      <c r="X37" s="184"/>
      <c r="Y37" s="3444"/>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42" t="s">
        <v>66</v>
      </c>
      <c r="Q38" s="1145" t="str">
        <f t="shared" si="11"/>
        <v>物业管理</v>
      </c>
      <c r="R38" s="1146" t="s">
        <v>99</v>
      </c>
      <c r="S38" s="1147">
        <f t="shared" si="12"/>
        <v>100</v>
      </c>
      <c r="T38" s="1146" t="s">
        <v>99</v>
      </c>
      <c r="U38" s="1147">
        <f t="shared" si="13"/>
        <v>100</v>
      </c>
      <c r="V38" s="1146" t="s">
        <v>99</v>
      </c>
      <c r="W38" s="1147">
        <f t="shared" si="14"/>
        <v>100</v>
      </c>
      <c r="X38" s="1133"/>
      <c r="Y38" s="3444" t="s">
        <v>66</v>
      </c>
      <c r="Z38" s="1148" t="str">
        <f t="shared" si="15"/>
        <v>物业管理</v>
      </c>
      <c r="AA38" s="1149">
        <f t="shared" si="3"/>
        <v>1</v>
      </c>
      <c r="AB38" s="1149">
        <f t="shared" si="4"/>
        <v>1</v>
      </c>
      <c r="AC38" s="1149">
        <f t="shared" si="5"/>
        <v>1</v>
      </c>
    </row>
    <row r="39" spans="1:29" ht="15">
      <c r="A39" s="111"/>
      <c r="B39" s="4" t="s">
        <v>2542</v>
      </c>
      <c r="C39" s="56" t="s">
        <v>115</v>
      </c>
      <c r="D39" s="102">
        <v>100</v>
      </c>
      <c r="E39" s="55" t="s">
        <v>115</v>
      </c>
      <c r="F39" s="123">
        <f>SUMIF(116:116,E39,117:117)-SUMIF(116:116,C39,117:117)+100</f>
        <v>100</v>
      </c>
      <c r="G39" s="56" t="s">
        <v>115</v>
      </c>
      <c r="H39" s="102">
        <f>SUMIF(116:116,G39,117:117)-SUMIF(116:116,C39,117:117)+100</f>
        <v>100</v>
      </c>
      <c r="I39" s="55" t="s">
        <v>115</v>
      </c>
      <c r="J39" s="102">
        <f>SUMIF(116:116,I39,117:117)-SUMIF(116:116,C39,117:117)+100</f>
        <v>100</v>
      </c>
      <c r="K39" s="624">
        <v>2</v>
      </c>
      <c r="L39" s="2170"/>
      <c r="M39" s="2165"/>
      <c r="N39" s="2165"/>
      <c r="O39" s="2165"/>
      <c r="P39" s="3442"/>
      <c r="Q39" s="1145" t="str">
        <f t="shared" si="11"/>
        <v>市政基础设施</v>
      </c>
      <c r="R39" s="1146" t="s">
        <v>99</v>
      </c>
      <c r="S39" s="1147">
        <f t="shared" si="12"/>
        <v>100</v>
      </c>
      <c r="T39" s="1146" t="s">
        <v>99</v>
      </c>
      <c r="U39" s="1147">
        <f t="shared" si="13"/>
        <v>100</v>
      </c>
      <c r="V39" s="1146" t="s">
        <v>99</v>
      </c>
      <c r="W39" s="1147">
        <f t="shared" si="14"/>
        <v>100</v>
      </c>
      <c r="X39" s="1133"/>
      <c r="Y39" s="3444"/>
      <c r="Z39" s="1148" t="str">
        <f t="shared" si="15"/>
        <v>市政基础设施</v>
      </c>
      <c r="AA39" s="1149">
        <f t="shared" si="3"/>
        <v>1</v>
      </c>
      <c r="AB39" s="1149">
        <f t="shared" si="4"/>
        <v>1</v>
      </c>
      <c r="AC39" s="1149">
        <f t="shared" si="5"/>
        <v>1</v>
      </c>
    </row>
    <row r="40" spans="1:29" ht="15">
      <c r="A40" s="111"/>
      <c r="B40" s="4" t="s">
        <v>77</v>
      </c>
      <c r="C40" s="56" t="s">
        <v>2976</v>
      </c>
      <c r="D40" s="102">
        <v>100</v>
      </c>
      <c r="E40" s="55" t="s">
        <v>2976</v>
      </c>
      <c r="F40" s="123">
        <f>SUMIF(118:118,E40,119:119)-SUMIF(118:118,C40,119:119)+100</f>
        <v>100</v>
      </c>
      <c r="G40" s="56" t="s">
        <v>2976</v>
      </c>
      <c r="H40" s="102">
        <f>SUMIF(118:118,G40,119:119)-SUMIF(118:118,C40,119:119)+100</f>
        <v>100</v>
      </c>
      <c r="I40" s="55" t="s">
        <v>2976</v>
      </c>
      <c r="J40" s="102">
        <f>SUMIF(118:118,I40,119:119)-SUMIF(118:118,C40,119:119)+100</f>
        <v>100</v>
      </c>
      <c r="K40" s="624">
        <v>5</v>
      </c>
      <c r="L40" s="2170"/>
      <c r="M40" s="2165"/>
      <c r="N40" s="2165"/>
      <c r="O40" s="2165"/>
      <c r="P40" s="3442"/>
      <c r="Q40" s="1145" t="str">
        <f t="shared" si="11"/>
        <v>房型</v>
      </c>
      <c r="R40" s="1146" t="s">
        <v>99</v>
      </c>
      <c r="S40" s="1147">
        <f t="shared" si="12"/>
        <v>100</v>
      </c>
      <c r="T40" s="1146" t="s">
        <v>99</v>
      </c>
      <c r="U40" s="1147">
        <f t="shared" si="13"/>
        <v>100</v>
      </c>
      <c r="V40" s="1146" t="s">
        <v>99</v>
      </c>
      <c r="W40" s="1147">
        <f t="shared" si="14"/>
        <v>100</v>
      </c>
      <c r="X40" s="1133"/>
      <c r="Y40" s="3444"/>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42"/>
      <c r="Q41" s="1153" t="str">
        <f t="shared" si="11"/>
        <v>单套/主力户型建筑面积</v>
      </c>
      <c r="R41" s="1154" t="s">
        <v>99</v>
      </c>
      <c r="S41" s="1155">
        <f t="shared" si="12"/>
        <v>100</v>
      </c>
      <c r="T41" s="1154" t="s">
        <v>99</v>
      </c>
      <c r="U41" s="1155">
        <f t="shared" si="13"/>
        <v>100</v>
      </c>
      <c r="V41" s="1154" t="s">
        <v>99</v>
      </c>
      <c r="W41" s="1155">
        <f t="shared" si="14"/>
        <v>100</v>
      </c>
      <c r="X41" s="1156"/>
      <c r="Y41" s="3444"/>
      <c r="Z41" s="1157" t="str">
        <f t="shared" si="15"/>
        <v>单套/主力户型建筑面积</v>
      </c>
      <c r="AA41" s="1149">
        <f t="shared" si="3"/>
        <v>1</v>
      </c>
      <c r="AB41" s="1149">
        <f t="shared" si="4"/>
        <v>1</v>
      </c>
      <c r="AC41" s="1149">
        <f t="shared" si="5"/>
        <v>1</v>
      </c>
    </row>
    <row r="42" spans="1:29" ht="15">
      <c r="A42" s="111"/>
      <c r="B42" s="4" t="s">
        <v>78</v>
      </c>
      <c r="C42" s="56" t="s">
        <v>3019</v>
      </c>
      <c r="D42" s="102">
        <v>100</v>
      </c>
      <c r="E42" s="55" t="s">
        <v>3019</v>
      </c>
      <c r="F42" s="123">
        <f>SUMIF(122:122,E42,123:123)-SUMIF(122:122,C42,123:123)+100</f>
        <v>100</v>
      </c>
      <c r="G42" s="56" t="s">
        <v>2999</v>
      </c>
      <c r="H42" s="102">
        <f>SUMIF(122:122,G42,123:123)-SUMIF(122:122,C42,123:123)+100</f>
        <v>101</v>
      </c>
      <c r="I42" s="55" t="s">
        <v>107</v>
      </c>
      <c r="J42" s="102">
        <f>SUMIF(122:122,I42,123:123)-SUMIF(122:122,C42,123:123)+100</f>
        <v>102</v>
      </c>
      <c r="K42" s="624">
        <v>1</v>
      </c>
      <c r="L42" s="2170"/>
      <c r="M42" s="2165"/>
      <c r="N42" s="2165"/>
      <c r="O42" s="2165"/>
      <c r="P42" s="3442"/>
      <c r="Q42" s="1145" t="str">
        <f t="shared" si="11"/>
        <v>内部装修</v>
      </c>
      <c r="R42" s="1146" t="s">
        <v>99</v>
      </c>
      <c r="S42" s="1147">
        <f t="shared" si="12"/>
        <v>100</v>
      </c>
      <c r="T42" s="1146" t="s">
        <v>99</v>
      </c>
      <c r="U42" s="1147">
        <f t="shared" si="13"/>
        <v>101</v>
      </c>
      <c r="V42" s="1146" t="s">
        <v>99</v>
      </c>
      <c r="W42" s="1147">
        <f t="shared" si="14"/>
        <v>102</v>
      </c>
      <c r="X42" s="1133"/>
      <c r="Y42" s="3444"/>
      <c r="Z42" s="1148" t="str">
        <f t="shared" si="15"/>
        <v>内部装修</v>
      </c>
      <c r="AA42" s="1149">
        <f t="shared" si="3"/>
        <v>1</v>
      </c>
      <c r="AB42" s="1149">
        <f t="shared" si="4"/>
        <v>0.99009900990099009</v>
      </c>
      <c r="AC42" s="1149">
        <f t="shared" si="5"/>
        <v>0.98039215686274506</v>
      </c>
    </row>
    <row r="43" spans="1:29" ht="27.75" thickBot="1">
      <c r="A43" s="111"/>
      <c r="B43" s="4" t="s">
        <v>79</v>
      </c>
      <c r="C43" s="56" t="s">
        <v>102</v>
      </c>
      <c r="D43" s="102">
        <v>100</v>
      </c>
      <c r="E43" s="3131" t="s">
        <v>102</v>
      </c>
      <c r="F43" s="123">
        <f>SUMIF(124:124,E43,125:125)-SUMIF(124:124,C43,125:125)+100</f>
        <v>100</v>
      </c>
      <c r="G43" s="56" t="s">
        <v>102</v>
      </c>
      <c r="H43" s="102">
        <f>SUMIF(124:124,G43,125:125)-SUMIF(124:124,C43,125:125)+100</f>
        <v>100</v>
      </c>
      <c r="I43" s="55" t="s">
        <v>102</v>
      </c>
      <c r="J43" s="102">
        <f>SUMIF(124:124,I43,125:125)-SUMIF(124:124,C43,125:125)+100</f>
        <v>100</v>
      </c>
      <c r="K43" s="624">
        <v>1</v>
      </c>
      <c r="L43" s="2170"/>
      <c r="M43" s="2165"/>
      <c r="N43" s="2165"/>
      <c r="O43" s="2165"/>
      <c r="P43" s="3442"/>
      <c r="Q43" s="1145" t="str">
        <f t="shared" si="11"/>
        <v>内部装修维护情况</v>
      </c>
      <c r="R43" s="1146" t="s">
        <v>99</v>
      </c>
      <c r="S43" s="1147">
        <f t="shared" si="12"/>
        <v>100</v>
      </c>
      <c r="T43" s="1146" t="s">
        <v>99</v>
      </c>
      <c r="U43" s="1147">
        <f t="shared" si="13"/>
        <v>100</v>
      </c>
      <c r="V43" s="1146" t="s">
        <v>99</v>
      </c>
      <c r="W43" s="1147">
        <f t="shared" si="14"/>
        <v>100</v>
      </c>
      <c r="X43" s="1133"/>
      <c r="Y43" s="3444"/>
      <c r="Z43" s="1148" t="str">
        <f t="shared" si="15"/>
        <v>内部装修维护情况</v>
      </c>
      <c r="AA43" s="1149">
        <f t="shared" si="3"/>
        <v>1</v>
      </c>
      <c r="AB43" s="1149">
        <f t="shared" si="4"/>
        <v>1</v>
      </c>
      <c r="AC43" s="1149">
        <f t="shared" si="5"/>
        <v>1</v>
      </c>
    </row>
    <row r="44" spans="1:29" s="11" customFormat="1" ht="20.25" hidden="1" customHeight="1">
      <c r="A44" s="900"/>
      <c r="B44" s="1151"/>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442"/>
      <c r="Q44" s="2">
        <f t="shared" si="11"/>
        <v>0</v>
      </c>
      <c r="R44" s="1135" t="s">
        <v>99</v>
      </c>
      <c r="S44" s="1136">
        <f t="shared" si="12"/>
        <v>100</v>
      </c>
      <c r="T44" s="1135" t="s">
        <v>99</v>
      </c>
      <c r="U44" s="1136">
        <f t="shared" si="13"/>
        <v>100</v>
      </c>
      <c r="V44" s="1135" t="s">
        <v>99</v>
      </c>
      <c r="W44" s="1136">
        <f t="shared" si="14"/>
        <v>100</v>
      </c>
      <c r="X44" s="184"/>
      <c r="Y44" s="3444"/>
      <c r="Z44" s="185">
        <f t="shared" si="15"/>
        <v>0</v>
      </c>
      <c r="AA44" s="1137">
        <f t="shared" si="3"/>
        <v>1</v>
      </c>
      <c r="AB44" s="1137">
        <f t="shared" si="4"/>
        <v>1</v>
      </c>
      <c r="AC44" s="1137">
        <f t="shared" si="5"/>
        <v>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42"/>
      <c r="Q45" s="1145">
        <f t="shared" si="11"/>
        <v>111</v>
      </c>
      <c r="R45" s="1146" t="s">
        <v>99</v>
      </c>
      <c r="S45" s="1147">
        <f t="shared" si="12"/>
        <v>100</v>
      </c>
      <c r="T45" s="1146" t="s">
        <v>99</v>
      </c>
      <c r="U45" s="1147">
        <f t="shared" si="13"/>
        <v>100</v>
      </c>
      <c r="V45" s="1146" t="s">
        <v>99</v>
      </c>
      <c r="W45" s="1147">
        <f t="shared" si="14"/>
        <v>100</v>
      </c>
      <c r="X45" s="1133"/>
      <c r="Y45" s="3444"/>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43"/>
      <c r="Q46" s="1145">
        <f t="shared" si="11"/>
        <v>111</v>
      </c>
      <c r="R46" s="1146" t="s">
        <v>98</v>
      </c>
      <c r="S46" s="1147">
        <f t="shared" si="12"/>
        <v>100</v>
      </c>
      <c r="T46" s="1146" t="s">
        <v>98</v>
      </c>
      <c r="U46" s="1147">
        <f t="shared" si="13"/>
        <v>100</v>
      </c>
      <c r="V46" s="1146" t="s">
        <v>98</v>
      </c>
      <c r="W46" s="1147">
        <f t="shared" si="14"/>
        <v>100</v>
      </c>
      <c r="X46" s="1133"/>
      <c r="Y46" s="3445"/>
      <c r="Z46" s="1148">
        <f t="shared" si="15"/>
        <v>111</v>
      </c>
      <c r="AA46" s="1149">
        <f t="shared" si="3"/>
        <v>1</v>
      </c>
      <c r="AB46" s="1149">
        <f t="shared" si="4"/>
        <v>1</v>
      </c>
      <c r="AC46" s="1149">
        <f t="shared" si="5"/>
        <v>1</v>
      </c>
    </row>
    <row r="47" spans="1:29" ht="15">
      <c r="A47" s="113" t="s">
        <v>97</v>
      </c>
      <c r="B47" s="114"/>
      <c r="C47" s="2610" t="s">
        <v>96</v>
      </c>
      <c r="D47" s="2611"/>
      <c r="E47" s="2612">
        <v>27469</v>
      </c>
      <c r="F47" s="2613"/>
      <c r="G47" s="2614">
        <v>27674</v>
      </c>
      <c r="H47" s="2615"/>
      <c r="I47" s="2612">
        <v>27353</v>
      </c>
      <c r="J47" s="2615"/>
      <c r="K47" s="1158"/>
      <c r="L47" s="2172"/>
      <c r="M47" s="2173"/>
      <c r="N47" s="2165"/>
      <c r="O47" s="2173"/>
      <c r="P47" s="3450" t="str">
        <f>A47</f>
        <v>成交单价（元/平方米）</v>
      </c>
      <c r="Q47" s="3450"/>
      <c r="R47" s="3451">
        <f>E47</f>
        <v>27469</v>
      </c>
      <c r="S47" s="3451"/>
      <c r="T47" s="3451">
        <f>G47</f>
        <v>27674</v>
      </c>
      <c r="U47" s="3451"/>
      <c r="V47" s="3451">
        <f>I47</f>
        <v>27353</v>
      </c>
      <c r="W47" s="3451"/>
      <c r="X47" s="1159"/>
      <c r="Y47" s="1160"/>
      <c r="Z47" s="1159"/>
      <c r="AA47" s="1159"/>
      <c r="AB47" s="1159"/>
      <c r="AC47" s="1159"/>
    </row>
    <row r="48" spans="1:29" ht="15.75" thickBot="1">
      <c r="A48" s="115" t="s">
        <v>95</v>
      </c>
      <c r="B48" s="116"/>
      <c r="C48" s="2616">
        <f>R49</f>
        <v>26927</v>
      </c>
      <c r="D48" s="2617"/>
      <c r="E48" s="2618">
        <f>R48</f>
        <v>26803</v>
      </c>
      <c r="F48" s="2618"/>
      <c r="G48" s="2616">
        <f>T48</f>
        <v>27425</v>
      </c>
      <c r="H48" s="2617"/>
      <c r="I48" s="2618">
        <f>V48</f>
        <v>26553</v>
      </c>
      <c r="J48" s="2617"/>
      <c r="K48" s="1161"/>
      <c r="L48" s="2172"/>
      <c r="M48" s="2173"/>
      <c r="N48" s="2173"/>
      <c r="O48" s="2173"/>
      <c r="P48" s="3450" t="str">
        <f>A48</f>
        <v>比较价值（元/平方米）</v>
      </c>
      <c r="Q48" s="3450"/>
      <c r="R48" s="3451">
        <f>IF(E1="售价",ROUND(PRODUCT(R47,AA7:AA46),0),ROUND(PRODUCT(R47,AA7:AA46),1))</f>
        <v>26803</v>
      </c>
      <c r="S48" s="3451"/>
      <c r="T48" s="3454">
        <f>IF(E1="售价",ROUND(PRODUCT(T47,AB7:AB46),0),ROUND(PRODUCT(T47,AB7:AB46),1))</f>
        <v>27425</v>
      </c>
      <c r="U48" s="3455"/>
      <c r="V48" s="3451">
        <f>IF(E1="售价",ROUND(PRODUCT(V47,AC7:AC46),0),ROUND(PRODUCT(V47,AC7:AC46),1))</f>
        <v>26553</v>
      </c>
      <c r="W48" s="3451"/>
      <c r="X48" s="1159"/>
      <c r="Y48" s="1159"/>
      <c r="Z48" s="1159"/>
      <c r="AA48" s="1159"/>
      <c r="AB48" s="1159"/>
      <c r="AC48" s="1159"/>
    </row>
    <row r="49" spans="1:29" ht="15.75" thickBot="1">
      <c r="A49" s="62" t="s">
        <v>2889</v>
      </c>
      <c r="B49" s="63"/>
      <c r="C49" s="2619">
        <f>R49</f>
        <v>26927</v>
      </c>
      <c r="D49" s="2620"/>
      <c r="E49" s="2620"/>
      <c r="F49" s="2620"/>
      <c r="G49" s="2620"/>
      <c r="H49" s="2620"/>
      <c r="I49" s="2620"/>
      <c r="J49" s="2620"/>
      <c r="K49" s="1162"/>
      <c r="L49" s="2172"/>
      <c r="M49" s="2173"/>
      <c r="N49" s="2173"/>
      <c r="O49" s="2173"/>
      <c r="P49" s="3456" t="str">
        <f>A49</f>
        <v>估价对象XX用房的比较价值（楼面单价，元/平方米）</v>
      </c>
      <c r="Q49" s="3457"/>
      <c r="R49" s="3458">
        <f>IF(E1="售价",ROUND(AVERAGE(R48:V48),0),ROUND(AVERAGE(R48:V48),1))</f>
        <v>26927</v>
      </c>
      <c r="S49" s="3458"/>
      <c r="T49" s="3458"/>
      <c r="U49" s="3458"/>
      <c r="V49" s="3458"/>
      <c r="W49" s="3458"/>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2.4847964780061904E-2</v>
      </c>
      <c r="F52" s="699" t="str">
        <f>IF(OR(E52&gt;=0.3,E52&lt;=-0.3),"超过30%","")</f>
        <v/>
      </c>
      <c r="G52" s="698">
        <f>IF(G47&lt;G48,G48/G47-1,G47/G48-1)</f>
        <v>9.079307201458553E-3</v>
      </c>
      <c r="H52" s="699" t="str">
        <f>IF(OR(G52&gt;=0.3,G52&lt;=-0.3),"超过30%","")</f>
        <v/>
      </c>
      <c r="I52" s="698">
        <f>IF(I47&lt;I48,I48/I47-1,I47/I48-1)</f>
        <v>3.012842240048208E-2</v>
      </c>
      <c r="J52" s="699" t="str">
        <f>IF(OR(I52&gt;=0.3,I52&lt;=-0.3),"超过30%","")</f>
        <v/>
      </c>
      <c r="K52" s="2178"/>
      <c r="L52" s="2174"/>
      <c r="M52" s="2173"/>
      <c r="N52" s="2173"/>
      <c r="O52" s="2173"/>
    </row>
    <row r="53" spans="1:29" ht="13.5" customHeight="1">
      <c r="A53" s="2173"/>
      <c r="B53" s="2173"/>
      <c r="C53" s="696" t="s">
        <v>915</v>
      </c>
      <c r="D53" s="700"/>
      <c r="E53" s="698">
        <f>IF(E48&lt;G48,G48/E48-1,E48/G48-1)</f>
        <v>2.320635749729516E-2</v>
      </c>
      <c r="F53" s="699" t="str">
        <f>IF(OR(E53&gt;=0.2,E53&lt;=-0.2),"超过20%","")</f>
        <v/>
      </c>
      <c r="G53" s="698">
        <f>IF(G48&lt;I48,I48/G48-1,G48/I48-1)</f>
        <v>3.2839980416525361E-2</v>
      </c>
      <c r="H53" s="699" t="str">
        <f>IF(OR(G53&gt;=0.2,G53&lt;=-0.2),"超过20%","")</f>
        <v/>
      </c>
      <c r="I53" s="698">
        <f>IF(I48&lt;E48,E48/I48-1,I48/E48-1)</f>
        <v>9.415132000150539E-3</v>
      </c>
      <c r="J53" s="699" t="str">
        <f>IF(OR(I53&gt;=0.2,I53&lt;=-0.2),"超过20%","")</f>
        <v/>
      </c>
      <c r="K53" s="2178"/>
      <c r="L53" s="2174"/>
      <c r="M53" s="2173"/>
      <c r="N53" s="2173"/>
      <c r="O53" s="2173"/>
    </row>
    <row r="54" spans="1:29" s="66" customFormat="1" ht="13.5" customHeight="1">
      <c r="A54" s="2175"/>
      <c r="B54" s="2175"/>
      <c r="C54" s="696" t="s">
        <v>916</v>
      </c>
      <c r="D54" s="700"/>
      <c r="E54" s="698">
        <f>IF(E47&lt;G47,G47/E47-1,E47/G47-1)</f>
        <v>7.46295824383858E-3</v>
      </c>
      <c r="F54" s="699" t="str">
        <f>IF(OR(E54&gt;=0.3,E54&lt;=-0.3),"超过30%","")</f>
        <v/>
      </c>
      <c r="G54" s="698">
        <f>IF(G47&lt;I47,I47/G47-1,G47/I47-1)</f>
        <v>1.1735458633422402E-2</v>
      </c>
      <c r="H54" s="699" t="str">
        <f>IF(OR(G54&gt;=0.3,G54&lt;=-0.3),"超过30%","")</f>
        <v/>
      </c>
      <c r="I54" s="698">
        <f>IF(I47&lt;E47,E47/I47-1,I47/E47-1)</f>
        <v>4.240851094943876E-3</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2017-8</v>
      </c>
      <c r="D58" s="2806">
        <f>EDATE(C58,-1)</f>
        <v>42917</v>
      </c>
      <c r="E58" s="2806">
        <f t="shared" ref="E58:O58" si="16">EDATE(D58,-1)</f>
        <v>42887</v>
      </c>
      <c r="F58" s="2806">
        <f t="shared" si="16"/>
        <v>42856</v>
      </c>
      <c r="G58" s="2806">
        <f t="shared" si="16"/>
        <v>42826</v>
      </c>
      <c r="H58" s="2806">
        <f t="shared" si="16"/>
        <v>42795</v>
      </c>
      <c r="I58" s="2806">
        <f t="shared" si="16"/>
        <v>42767</v>
      </c>
      <c r="J58" s="2806">
        <f t="shared" si="16"/>
        <v>42736</v>
      </c>
      <c r="K58" s="2806">
        <f t="shared" si="16"/>
        <v>42705</v>
      </c>
      <c r="L58" s="2806">
        <f t="shared" si="16"/>
        <v>42675</v>
      </c>
      <c r="M58" s="2806">
        <f t="shared" si="16"/>
        <v>42644</v>
      </c>
      <c r="N58" s="2806">
        <f t="shared" si="16"/>
        <v>42614</v>
      </c>
      <c r="O58" s="2806">
        <f t="shared" si="16"/>
        <v>42583</v>
      </c>
      <c r="P58" s="1171"/>
    </row>
    <row r="59" spans="1:29" s="11" customFormat="1" ht="14.25">
      <c r="A59" s="908"/>
      <c r="B59" s="909"/>
      <c r="C59" s="841">
        <v>100</v>
      </c>
      <c r="D59" s="711">
        <v>100</v>
      </c>
      <c r="E59" s="711">
        <v>101</v>
      </c>
      <c r="F59" s="711">
        <v>101</v>
      </c>
      <c r="G59" s="711">
        <v>101</v>
      </c>
      <c r="H59" s="711">
        <v>102</v>
      </c>
      <c r="I59" s="711">
        <v>102</v>
      </c>
      <c r="J59" s="711">
        <v>102</v>
      </c>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2989</v>
      </c>
      <c r="D88" s="86" t="s">
        <v>2990</v>
      </c>
      <c r="E88" s="86" t="s">
        <v>2942</v>
      </c>
      <c r="F88" s="86" t="s">
        <v>2943</v>
      </c>
      <c r="G88" s="86" t="s">
        <v>2944</v>
      </c>
      <c r="H88" s="86" t="s">
        <v>2991</v>
      </c>
      <c r="I88" s="86" t="s">
        <v>2995</v>
      </c>
      <c r="J88" s="86" t="s">
        <v>2992</v>
      </c>
      <c r="K88" s="86" t="s">
        <v>2993</v>
      </c>
      <c r="L88" s="1180" t="s">
        <v>2994</v>
      </c>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2945</v>
      </c>
      <c r="D90" s="86" t="s">
        <v>2946</v>
      </c>
      <c r="E90" s="86" t="s">
        <v>2947</v>
      </c>
      <c r="F90" s="86" t="s">
        <v>2948</v>
      </c>
      <c r="G90" s="86" t="s">
        <v>2949</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5" thickTop="1">
      <c r="A92" s="125"/>
      <c r="B92" s="917" t="str">
        <f>B28</f>
        <v>建成年代</v>
      </c>
      <c r="C92" s="755">
        <v>2015</v>
      </c>
      <c r="D92" s="40">
        <v>2014</v>
      </c>
      <c r="E92" s="40"/>
      <c r="F92" s="40"/>
      <c r="G92" s="785"/>
      <c r="H92" s="785"/>
      <c r="I92" s="785"/>
      <c r="J92" s="785"/>
      <c r="K92" s="786"/>
      <c r="L92" s="787"/>
      <c r="M92" s="788"/>
      <c r="N92" s="1184"/>
      <c r="O92" s="1184"/>
      <c r="P92" s="1174"/>
      <c r="Q92" s="68"/>
    </row>
    <row r="93" spans="1:17" ht="15" thickBot="1">
      <c r="A93" s="125"/>
      <c r="B93" s="918"/>
      <c r="C93" s="762">
        <v>100</v>
      </c>
      <c r="D93" s="736">
        <v>99.5</v>
      </c>
      <c r="E93" s="736"/>
      <c r="F93" s="736"/>
      <c r="G93" s="736"/>
      <c r="H93" s="736"/>
      <c r="I93" s="736"/>
      <c r="J93" s="736"/>
      <c r="K93" s="736"/>
      <c r="L93" s="736"/>
      <c r="M93" s="737"/>
      <c r="N93" s="1185"/>
      <c r="O93" s="1185"/>
      <c r="P93" s="1174"/>
      <c r="Q93" s="68"/>
    </row>
    <row r="94" spans="1:17" ht="15" hidden="1" thickTop="1">
      <c r="A94" s="125"/>
      <c r="B94" s="917">
        <f>B29</f>
        <v>0</v>
      </c>
      <c r="C94" s="3126" t="s">
        <v>2980</v>
      </c>
      <c r="D94" s="40" t="s">
        <v>2979</v>
      </c>
      <c r="E94" s="40" t="s">
        <v>2981</v>
      </c>
      <c r="F94" s="40"/>
      <c r="G94" s="785"/>
      <c r="H94" s="785"/>
      <c r="I94" s="785"/>
      <c r="J94" s="785"/>
      <c r="K94" s="786"/>
      <c r="L94" s="787"/>
      <c r="M94" s="788"/>
      <c r="N94" s="1184"/>
      <c r="O94" s="1184"/>
      <c r="P94" s="1174"/>
      <c r="Q94" s="68"/>
    </row>
    <row r="95" spans="1:17" ht="15.75" hidden="1" thickTop="1" thickBot="1">
      <c r="A95" s="125"/>
      <c r="B95" s="918"/>
      <c r="C95" s="762">
        <v>100</v>
      </c>
      <c r="D95" s="762">
        <v>99</v>
      </c>
      <c r="E95" s="762">
        <v>100</v>
      </c>
      <c r="F95" s="762"/>
      <c r="G95" s="736"/>
      <c r="H95" s="736"/>
      <c r="I95" s="736"/>
      <c r="J95" s="736"/>
      <c r="K95" s="736"/>
      <c r="L95" s="736"/>
      <c r="M95" s="737"/>
      <c r="N95" s="1185"/>
      <c r="O95" s="1185"/>
      <c r="P95" s="1174"/>
      <c r="Q95" s="68"/>
    </row>
    <row r="96" spans="1:17" ht="15" hidden="1" thickTop="1">
      <c r="A96" s="125"/>
      <c r="B96" s="917">
        <f>B30</f>
        <v>0</v>
      </c>
      <c r="C96" s="40"/>
      <c r="D96" s="40"/>
      <c r="E96" s="40" t="s">
        <v>2997</v>
      </c>
      <c r="F96" s="40" t="s">
        <v>2998</v>
      </c>
      <c r="G96" s="785"/>
      <c r="H96" s="785"/>
      <c r="I96" s="785"/>
      <c r="J96" s="785"/>
      <c r="K96" s="786"/>
      <c r="L96" s="787"/>
      <c r="M96" s="788"/>
      <c r="N96" s="1184"/>
      <c r="O96" s="1184"/>
      <c r="P96" s="1174"/>
      <c r="Q96" s="68"/>
    </row>
    <row r="97" spans="1:17" ht="15" hidden="1" thickBot="1">
      <c r="A97" s="125"/>
      <c r="B97" s="918"/>
      <c r="C97" s="772">
        <v>100</v>
      </c>
      <c r="D97" s="772"/>
      <c r="E97" s="772">
        <v>100</v>
      </c>
      <c r="F97" s="772">
        <v>102</v>
      </c>
      <c r="G97" s="736"/>
      <c r="H97" s="736"/>
      <c r="I97" s="736"/>
      <c r="J97" s="736"/>
      <c r="K97" s="736"/>
      <c r="L97" s="736"/>
      <c r="M97" s="737"/>
      <c r="N97" s="1185"/>
      <c r="O97" s="1185"/>
      <c r="P97" s="1174"/>
      <c r="Q97" s="68"/>
    </row>
    <row r="98" spans="1:17" ht="15" thickTop="1">
      <c r="A98" s="125"/>
      <c r="B98" s="919" t="str">
        <f>B31</f>
        <v>楼层</v>
      </c>
      <c r="C98" s="40" t="s">
        <v>3020</v>
      </c>
      <c r="D98" s="40" t="s">
        <v>3022</v>
      </c>
      <c r="E98" s="40" t="s">
        <v>3024</v>
      </c>
      <c r="F98" s="40"/>
      <c r="G98" s="789"/>
      <c r="H98" s="789"/>
      <c r="I98" s="789"/>
      <c r="J98" s="789"/>
      <c r="K98" s="790"/>
      <c r="L98" s="791"/>
      <c r="M98" s="792"/>
      <c r="N98" s="1184"/>
      <c r="O98" s="1184"/>
      <c r="P98" s="1174"/>
      <c r="Q98" s="68"/>
    </row>
    <row r="99" spans="1:17" ht="15" thickBot="1">
      <c r="A99" s="126"/>
      <c r="B99" s="934"/>
      <c r="C99" s="793">
        <v>100</v>
      </c>
      <c r="D99" s="793">
        <v>103</v>
      </c>
      <c r="E99" s="793">
        <v>101.5</v>
      </c>
      <c r="F99" s="793"/>
      <c r="G99" s="793"/>
      <c r="H99" s="793"/>
      <c r="I99" s="793"/>
      <c r="J99" s="793"/>
      <c r="K99" s="793"/>
      <c r="L99" s="793"/>
      <c r="M99" s="794"/>
      <c r="N99" s="1185"/>
      <c r="O99" s="1185"/>
      <c r="P99" s="1174"/>
      <c r="Q99" s="68"/>
    </row>
    <row r="100" spans="1:17">
      <c r="A100" s="124" t="s">
        <v>66</v>
      </c>
      <c r="B100" s="183" t="s">
        <v>124</v>
      </c>
      <c r="C100" s="69" t="s">
        <v>2951</v>
      </c>
      <c r="D100" s="69" t="s">
        <v>2952</v>
      </c>
      <c r="E100" s="69" t="s">
        <v>2953</v>
      </c>
      <c r="F100" s="69" t="s">
        <v>2954</v>
      </c>
      <c r="G100" s="69"/>
      <c r="H100" s="69"/>
      <c r="I100" s="69"/>
      <c r="J100" s="69"/>
      <c r="K100" s="70"/>
      <c r="L100" s="71"/>
      <c r="M100" s="72"/>
      <c r="N100" s="1184"/>
      <c r="O100" s="1184"/>
      <c r="P100" s="1174"/>
      <c r="Q100" s="68"/>
    </row>
    <row r="101" spans="1:17" ht="15" thickBot="1">
      <c r="A101" s="125"/>
      <c r="B101" s="918"/>
      <c r="C101" s="745">
        <v>100</v>
      </c>
      <c r="D101" s="745">
        <f t="shared" ref="D101:M101" si="22">C101-$K32</f>
        <v>95</v>
      </c>
      <c r="E101" s="745">
        <f t="shared" si="22"/>
        <v>90</v>
      </c>
      <c r="F101" s="745">
        <f t="shared" si="22"/>
        <v>85</v>
      </c>
      <c r="G101" s="745">
        <f t="shared" si="22"/>
        <v>80</v>
      </c>
      <c r="H101" s="745">
        <f t="shared" si="22"/>
        <v>75</v>
      </c>
      <c r="I101" s="745">
        <f t="shared" si="22"/>
        <v>70</v>
      </c>
      <c r="J101" s="745">
        <f t="shared" si="22"/>
        <v>65</v>
      </c>
      <c r="K101" s="745">
        <f t="shared" si="22"/>
        <v>60</v>
      </c>
      <c r="L101" s="745">
        <f t="shared" si="22"/>
        <v>55</v>
      </c>
      <c r="M101" s="745">
        <f t="shared" si="22"/>
        <v>50</v>
      </c>
      <c r="N101" s="1185"/>
      <c r="O101" s="1185"/>
      <c r="P101" s="1174"/>
      <c r="Q101" s="68"/>
    </row>
    <row r="102" spans="1:17" ht="15" thickTop="1">
      <c r="A102" s="125"/>
      <c r="B102" s="917" t="s">
        <v>91</v>
      </c>
      <c r="C102" s="780" t="str">
        <f>C103&amp;"(含)"&amp;"-"&amp;D103</f>
        <v>0(含)-30</v>
      </c>
      <c r="D102" s="780" t="str">
        <f t="shared" ref="D102:L102" si="23">D103&amp;"(含)"&amp;"-"&amp;E103</f>
        <v>30(含)-60</v>
      </c>
      <c r="E102" s="780" t="str">
        <f t="shared" si="23"/>
        <v>60(含)-90</v>
      </c>
      <c r="F102" s="780" t="str">
        <f t="shared" si="23"/>
        <v>90(含)-120</v>
      </c>
      <c r="G102" s="780" t="str">
        <f t="shared" si="23"/>
        <v>120(含)-150</v>
      </c>
      <c r="H102" s="780" t="str">
        <f t="shared" si="23"/>
        <v>150(含)-180</v>
      </c>
      <c r="I102" s="780" t="str">
        <f t="shared" si="23"/>
        <v>180(含)-210</v>
      </c>
      <c r="J102" s="780" t="str">
        <f t="shared" si="23"/>
        <v>210(含)-240</v>
      </c>
      <c r="K102" s="780" t="str">
        <f t="shared" si="23"/>
        <v>240(含)-270</v>
      </c>
      <c r="L102" s="780" t="str">
        <f t="shared" si="23"/>
        <v>270(含)-400</v>
      </c>
      <c r="M102" s="780" t="str">
        <f>M103&amp;"(含)"&amp;"-"&amp;P103</f>
        <v>400(含)-</v>
      </c>
      <c r="N102" s="1183"/>
      <c r="O102" s="1183"/>
      <c r="P102" s="1174"/>
      <c r="Q102" s="68"/>
    </row>
    <row r="103" spans="1:17" s="898" customFormat="1" ht="14.25">
      <c r="A103" s="936"/>
      <c r="B103" s="937"/>
      <c r="C103" s="797">
        <v>0</v>
      </c>
      <c r="D103" s="797">
        <v>30</v>
      </c>
      <c r="E103" s="797">
        <v>60</v>
      </c>
      <c r="F103" s="797">
        <v>90</v>
      </c>
      <c r="G103" s="797">
        <v>120</v>
      </c>
      <c r="H103" s="797">
        <v>150</v>
      </c>
      <c r="I103" s="797">
        <v>180</v>
      </c>
      <c r="J103" s="798">
        <v>210</v>
      </c>
      <c r="K103" s="798">
        <v>240</v>
      </c>
      <c r="L103" s="799">
        <v>270</v>
      </c>
      <c r="M103" s="800">
        <v>400</v>
      </c>
      <c r="N103" s="1186"/>
      <c r="O103" s="1186"/>
      <c r="P103" s="1175"/>
      <c r="Q103" s="926"/>
    </row>
    <row r="104" spans="1:17" s="898" customFormat="1" ht="15" thickBot="1">
      <c r="A104" s="921"/>
      <c r="B104" s="918"/>
      <c r="C104" s="762">
        <v>100</v>
      </c>
      <c r="D104" s="736">
        <v>98</v>
      </c>
      <c r="E104" s="736">
        <v>96</v>
      </c>
      <c r="F104" s="736">
        <v>94</v>
      </c>
      <c r="G104" s="736">
        <v>92</v>
      </c>
      <c r="H104" s="736">
        <v>90</v>
      </c>
      <c r="I104" s="736">
        <v>88</v>
      </c>
      <c r="J104" s="736">
        <v>86</v>
      </c>
      <c r="K104" s="736">
        <v>84</v>
      </c>
      <c r="L104" s="736">
        <v>82</v>
      </c>
      <c r="M104" s="736">
        <v>80</v>
      </c>
      <c r="N104" s="1185"/>
      <c r="O104" s="1185"/>
      <c r="P104" s="1175"/>
      <c r="Q104" s="926"/>
    </row>
    <row r="105" spans="1:17" ht="14.25" thickTop="1">
      <c r="A105" s="127"/>
      <c r="B105" s="917" t="s">
        <v>90</v>
      </c>
      <c r="C105" s="86" t="s">
        <v>2955</v>
      </c>
      <c r="D105" s="86" t="s">
        <v>2956</v>
      </c>
      <c r="E105" s="78" t="s">
        <v>2957</v>
      </c>
      <c r="F105" s="78" t="s">
        <v>2958</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2959</v>
      </c>
      <c r="D107" s="78" t="s">
        <v>2960</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2961</v>
      </c>
      <c r="D109" s="86" t="s">
        <v>2962</v>
      </c>
      <c r="E109" s="86" t="s">
        <v>2963</v>
      </c>
      <c r="F109" s="78" t="s">
        <v>2964</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2965</v>
      </c>
      <c r="D114" s="86" t="s">
        <v>2966</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2967</v>
      </c>
      <c r="D116" s="86" t="s">
        <v>2968</v>
      </c>
      <c r="E116" s="86" t="s">
        <v>2969</v>
      </c>
      <c r="F116" s="86" t="s">
        <v>2970</v>
      </c>
      <c r="G116" s="86" t="s">
        <v>2971</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2972</v>
      </c>
      <c r="D118" s="78" t="s">
        <v>2973</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2961</v>
      </c>
      <c r="D122" s="86" t="s">
        <v>2962</v>
      </c>
      <c r="E122" s="86" t="s">
        <v>2963</v>
      </c>
      <c r="F122" s="78" t="s">
        <v>2964</v>
      </c>
      <c r="G122" s="78"/>
      <c r="H122" s="78"/>
      <c r="I122" s="78"/>
      <c r="J122" s="78"/>
      <c r="K122" s="79"/>
      <c r="L122" s="80"/>
      <c r="M122" s="81"/>
      <c r="N122" s="1184"/>
      <c r="O122" s="1184"/>
      <c r="P122" s="1174"/>
      <c r="Q122" s="68"/>
    </row>
    <row r="123" spans="1:17" ht="15" thickBot="1">
      <c r="A123" s="125"/>
      <c r="B123" s="918"/>
      <c r="C123" s="745">
        <v>100</v>
      </c>
      <c r="D123" s="745">
        <f t="shared" ref="D123:M123" si="29">C123-$K42</f>
        <v>99</v>
      </c>
      <c r="E123" s="745">
        <f t="shared" si="29"/>
        <v>98</v>
      </c>
      <c r="F123" s="745">
        <f t="shared" si="29"/>
        <v>97</v>
      </c>
      <c r="G123" s="745">
        <f t="shared" si="29"/>
        <v>96</v>
      </c>
      <c r="H123" s="745">
        <f t="shared" si="29"/>
        <v>95</v>
      </c>
      <c r="I123" s="745">
        <f t="shared" si="29"/>
        <v>94</v>
      </c>
      <c r="J123" s="745">
        <f t="shared" si="29"/>
        <v>93</v>
      </c>
      <c r="K123" s="745">
        <f t="shared" si="29"/>
        <v>92</v>
      </c>
      <c r="L123" s="745">
        <f t="shared" si="29"/>
        <v>91</v>
      </c>
      <c r="M123" s="745">
        <f t="shared" si="29"/>
        <v>90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thickTop="1">
      <c r="A126" s="936"/>
      <c r="B126" s="917">
        <f>B44</f>
        <v>0</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61" zoomScaleNormal="100" workbookViewId="0">
      <selection activeCell="H120" sqref="H120"/>
    </sheetView>
  </sheetViews>
  <sheetFormatPr defaultRowHeight="13.5"/>
  <sheetData/>
  <phoneticPr fontId="208" type="noConversion"/>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5" sqref="D15"/>
    </sheetView>
  </sheetViews>
  <sheetFormatPr defaultColWidth="14.625" defaultRowHeight="13.5"/>
  <cols>
    <col min="1" max="1" width="24.375" customWidth="1"/>
  </cols>
  <sheetData>
    <row r="1" spans="1:9" ht="16.5">
      <c r="A1" s="3019" t="s">
        <v>2825</v>
      </c>
      <c r="B1" s="3019">
        <f>SUM(B14:B23)</f>
        <v>80.09</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42969</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187.15430000000001</v>
      </c>
      <c r="C5" s="3019">
        <f ca="1">ROUND(B5*10000/$B$1,0)</f>
        <v>23368</v>
      </c>
      <c r="D5" s="3019" t="e">
        <f ca="1">ROUND(B5*10000/$B$2,0)</f>
        <v>#DIV/0!</v>
      </c>
      <c r="E5" s="3020"/>
      <c r="F5" s="3024"/>
      <c r="G5" s="3024"/>
    </row>
    <row r="6" spans="1:9" ht="16.5">
      <c r="A6" s="3019" t="s">
        <v>2833</v>
      </c>
      <c r="B6" s="3019">
        <f ca="1">SUM(G14:G23)</f>
        <v>187.15430000000001</v>
      </c>
      <c r="C6" s="3019">
        <f t="shared" ref="C6:C8" ca="1" si="0">ROUND(B6*10000/$B$1,0)</f>
        <v>23368</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2985</v>
      </c>
      <c r="B14" s="3023">
        <f>项目基本情况!C12</f>
        <v>80.09</v>
      </c>
      <c r="C14" s="3023">
        <f>项目基本情况!C13</f>
        <v>0</v>
      </c>
      <c r="D14" s="3023">
        <f ca="1">IF('数据-取费表'!B3="万元",IF(A14="估价对象1（结果表）",结果表!H121,'结果表 (1修多)'!H124),IF(A14="估价对象1（结果表）",结果表!H121,'结果表 (1修多)'!H124)/10000)</f>
        <v>187.15430000000001</v>
      </c>
      <c r="E14" s="3023">
        <f ca="1">ROUND(D14*10000/B14,0)</f>
        <v>23368</v>
      </c>
      <c r="F14" s="3023" t="e">
        <f ca="1">ROUND(D14*10000/C14,0)</f>
        <v>#DIV/0!</v>
      </c>
      <c r="G14" s="3023">
        <f ca="1">IF('数据-取费表'!B3="万元",IF(A14="估价对象1（结果表）",结果表!D125,'结果表 (1修多)'!D128),IF(A14="估价对象1（结果表）",结果表!D125,'结果表 (1修多)'!D128)/10000)</f>
        <v>187.15430000000001</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c r="C15" s="3027"/>
      <c r="D15" s="3027"/>
      <c r="E15" s="3023" t="e">
        <f t="shared" ref="E15:E23" si="2">ROUND(D15*10000/B15,0)</f>
        <v>#DIV/0!</v>
      </c>
      <c r="F15" s="3023" t="e">
        <f t="shared" ref="F15:F23"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80.09</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14" t="s">
        <v>50</v>
      </c>
      <c r="D4" s="3415"/>
      <c r="E4" s="3416" t="s">
        <v>51</v>
      </c>
      <c r="F4" s="3417"/>
      <c r="G4" s="3414" t="s">
        <v>52</v>
      </c>
      <c r="H4" s="3415"/>
      <c r="I4" s="3414" t="s">
        <v>53</v>
      </c>
      <c r="J4" s="3415"/>
      <c r="K4" s="139" t="s">
        <v>54</v>
      </c>
      <c r="L4" s="2164"/>
      <c r="M4" s="2165"/>
      <c r="N4" s="2165"/>
      <c r="O4" s="2165"/>
      <c r="P4" s="3418" t="s">
        <v>49</v>
      </c>
      <c r="Q4" s="3419"/>
      <c r="R4" s="3424" t="s">
        <v>51</v>
      </c>
      <c r="S4" s="3425"/>
      <c r="T4" s="3424" t="s">
        <v>52</v>
      </c>
      <c r="U4" s="3425"/>
      <c r="V4" s="3430" t="s">
        <v>53</v>
      </c>
      <c r="W4" s="3430"/>
      <c r="X4" s="1133"/>
      <c r="Y4" s="3424" t="s">
        <v>49</v>
      </c>
      <c r="Z4" s="3425"/>
      <c r="AA4" s="3411" t="s">
        <v>51</v>
      </c>
      <c r="AB4" s="3430" t="s">
        <v>52</v>
      </c>
      <c r="AC4" s="3411" t="s">
        <v>53</v>
      </c>
    </row>
    <row r="5" spans="1:29">
      <c r="A5" s="93"/>
      <c r="B5" s="94"/>
      <c r="C5" s="3459" t="s">
        <v>55</v>
      </c>
      <c r="D5" s="3460"/>
      <c r="E5" s="3461" t="s">
        <v>56</v>
      </c>
      <c r="F5" s="3462"/>
      <c r="G5" s="3459" t="s">
        <v>57</v>
      </c>
      <c r="H5" s="3460"/>
      <c r="I5" s="3459" t="s">
        <v>58</v>
      </c>
      <c r="J5" s="3460"/>
      <c r="K5" s="139"/>
      <c r="L5" s="2164"/>
      <c r="M5" s="2165"/>
      <c r="N5" s="2165"/>
      <c r="O5" s="2165"/>
      <c r="P5" s="3420"/>
      <c r="Q5" s="3421"/>
      <c r="R5" s="3426"/>
      <c r="S5" s="3427"/>
      <c r="T5" s="3426"/>
      <c r="U5" s="3427"/>
      <c r="V5" s="3430"/>
      <c r="W5" s="3430"/>
      <c r="X5" s="1133"/>
      <c r="Y5" s="3426"/>
      <c r="Z5" s="3427"/>
      <c r="AA5" s="3412"/>
      <c r="AB5" s="3430"/>
      <c r="AC5" s="3412"/>
    </row>
    <row r="6" spans="1:29" ht="14.25" thickBot="1">
      <c r="A6" s="95"/>
      <c r="B6" s="96"/>
      <c r="C6" s="3435" t="s">
        <v>59</v>
      </c>
      <c r="D6" s="3436"/>
      <c r="E6" s="3437" t="s">
        <v>59</v>
      </c>
      <c r="F6" s="3438"/>
      <c r="G6" s="3435" t="s">
        <v>59</v>
      </c>
      <c r="H6" s="3436"/>
      <c r="I6" s="3435" t="s">
        <v>59</v>
      </c>
      <c r="J6" s="3436"/>
      <c r="K6" s="139" t="s">
        <v>119</v>
      </c>
      <c r="L6" s="2164"/>
      <c r="M6" s="2165"/>
      <c r="N6" s="2165"/>
      <c r="O6" s="2165"/>
      <c r="P6" s="3422"/>
      <c r="Q6" s="3423"/>
      <c r="R6" s="3426"/>
      <c r="S6" s="3427"/>
      <c r="T6" s="3428"/>
      <c r="U6" s="3429"/>
      <c r="V6" s="3430"/>
      <c r="W6" s="3430"/>
      <c r="X6" s="1133"/>
      <c r="Y6" s="3428"/>
      <c r="Z6" s="3429"/>
      <c r="AA6" s="3413"/>
      <c r="AB6" s="3430"/>
      <c r="AC6" s="3413"/>
    </row>
    <row r="7" spans="1:29" s="11" customFormat="1" ht="15" thickBot="1">
      <c r="A7" s="872" t="s">
        <v>60</v>
      </c>
      <c r="B7" s="873"/>
      <c r="C7" s="874">
        <f>'数据-取费表'!B2</f>
        <v>42969</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46" t="s">
        <v>60</v>
      </c>
      <c r="Q7" s="3448"/>
      <c r="R7" s="1135" t="s">
        <v>61</v>
      </c>
      <c r="S7" s="1136">
        <f t="shared" ref="S7:S15" si="0">F7</f>
        <v>0</v>
      </c>
      <c r="T7" s="1135" t="s">
        <v>61</v>
      </c>
      <c r="U7" s="1136">
        <f t="shared" ref="U7:U15" si="1">H7</f>
        <v>0</v>
      </c>
      <c r="V7" s="1135" t="s">
        <v>61</v>
      </c>
      <c r="W7" s="1136">
        <f t="shared" ref="W7:W15" si="2">J7</f>
        <v>0</v>
      </c>
      <c r="X7" s="184"/>
      <c r="Y7" s="3446" t="s">
        <v>60</v>
      </c>
      <c r="Z7" s="3447"/>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46" t="s">
        <v>929</v>
      </c>
      <c r="Q8" s="3447"/>
      <c r="R8" s="1135" t="s">
        <v>61</v>
      </c>
      <c r="S8" s="1136">
        <f t="shared" si="0"/>
        <v>0</v>
      </c>
      <c r="T8" s="1135" t="s">
        <v>61</v>
      </c>
      <c r="U8" s="1136">
        <f t="shared" si="1"/>
        <v>0</v>
      </c>
      <c r="V8" s="1135" t="s">
        <v>61</v>
      </c>
      <c r="W8" s="1136">
        <f t="shared" si="2"/>
        <v>0</v>
      </c>
      <c r="X8" s="184"/>
      <c r="Y8" s="3446" t="s">
        <v>929</v>
      </c>
      <c r="Z8" s="3447"/>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49" t="s">
        <v>63</v>
      </c>
      <c r="Q9" s="2" t="str">
        <f t="shared" ref="Q9:Q15" si="6">B9</f>
        <v>用途</v>
      </c>
      <c r="R9" s="1135" t="s">
        <v>61</v>
      </c>
      <c r="S9" s="1136">
        <f t="shared" si="0"/>
        <v>100</v>
      </c>
      <c r="T9" s="1135" t="s">
        <v>61</v>
      </c>
      <c r="U9" s="1136">
        <f t="shared" si="1"/>
        <v>100</v>
      </c>
      <c r="V9" s="1135" t="s">
        <v>61</v>
      </c>
      <c r="W9" s="1136">
        <f t="shared" si="2"/>
        <v>100</v>
      </c>
      <c r="X9" s="184"/>
      <c r="Y9" s="325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49"/>
      <c r="Q10" s="2" t="str">
        <f t="shared" si="6"/>
        <v>土地使用年限（年）</v>
      </c>
      <c r="R10" s="1135" t="s">
        <v>61</v>
      </c>
      <c r="S10" s="1136">
        <f t="shared" si="0"/>
        <v>100</v>
      </c>
      <c r="T10" s="1135" t="s">
        <v>61</v>
      </c>
      <c r="U10" s="1136">
        <f t="shared" si="1"/>
        <v>100</v>
      </c>
      <c r="V10" s="1135" t="s">
        <v>61</v>
      </c>
      <c r="W10" s="1136">
        <f t="shared" si="2"/>
        <v>100</v>
      </c>
      <c r="X10" s="184"/>
      <c r="Y10" s="3250"/>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49"/>
      <c r="Q11" s="2" t="str">
        <f t="shared" si="6"/>
        <v>容积率</v>
      </c>
      <c r="R11" s="1135" t="s">
        <v>61</v>
      </c>
      <c r="S11" s="1136" t="e">
        <f t="shared" si="0"/>
        <v>#N/A</v>
      </c>
      <c r="T11" s="1135" t="s">
        <v>61</v>
      </c>
      <c r="U11" s="1136" t="e">
        <f t="shared" si="1"/>
        <v>#N/A</v>
      </c>
      <c r="V11" s="1135" t="s">
        <v>61</v>
      </c>
      <c r="W11" s="1136" t="e">
        <f t="shared" si="2"/>
        <v>#N/A</v>
      </c>
      <c r="X11" s="184"/>
      <c r="Y11" s="3250"/>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49"/>
      <c r="Q12" s="2">
        <f t="shared" si="6"/>
        <v>111</v>
      </c>
      <c r="R12" s="1135" t="s">
        <v>61</v>
      </c>
      <c r="S12" s="1136">
        <f t="shared" si="0"/>
        <v>100</v>
      </c>
      <c r="T12" s="1135" t="s">
        <v>61</v>
      </c>
      <c r="U12" s="1136">
        <f t="shared" si="1"/>
        <v>100</v>
      </c>
      <c r="V12" s="1135" t="s">
        <v>61</v>
      </c>
      <c r="W12" s="1136">
        <f t="shared" si="2"/>
        <v>100</v>
      </c>
      <c r="X12" s="184"/>
      <c r="Y12" s="3250"/>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49"/>
      <c r="Q13" s="2">
        <f t="shared" si="6"/>
        <v>111</v>
      </c>
      <c r="R13" s="1135" t="s">
        <v>61</v>
      </c>
      <c r="S13" s="1136">
        <f t="shared" si="0"/>
        <v>100</v>
      </c>
      <c r="T13" s="1135" t="s">
        <v>61</v>
      </c>
      <c r="U13" s="1136">
        <f t="shared" si="1"/>
        <v>100</v>
      </c>
      <c r="V13" s="1135" t="s">
        <v>61</v>
      </c>
      <c r="W13" s="1136">
        <f t="shared" si="2"/>
        <v>100</v>
      </c>
      <c r="X13" s="184"/>
      <c r="Y13" s="3250"/>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49"/>
      <c r="Q14" s="2">
        <f t="shared" si="6"/>
        <v>111</v>
      </c>
      <c r="R14" s="1135" t="s">
        <v>61</v>
      </c>
      <c r="S14" s="1136">
        <f t="shared" si="0"/>
        <v>100</v>
      </c>
      <c r="T14" s="1135" t="s">
        <v>61</v>
      </c>
      <c r="U14" s="1136">
        <f t="shared" si="1"/>
        <v>100</v>
      </c>
      <c r="V14" s="1135" t="s">
        <v>61</v>
      </c>
      <c r="W14" s="1136">
        <f t="shared" si="2"/>
        <v>100</v>
      </c>
      <c r="X14" s="184"/>
      <c r="Y14" s="3250"/>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52" t="s">
        <v>65</v>
      </c>
      <c r="Q15" s="1145" t="str">
        <f t="shared" si="6"/>
        <v>商业繁华度</v>
      </c>
      <c r="R15" s="1146" t="s">
        <v>61</v>
      </c>
      <c r="S15" s="1147">
        <f t="shared" si="0"/>
        <v>100</v>
      </c>
      <c r="T15" s="1146" t="s">
        <v>61</v>
      </c>
      <c r="U15" s="1147">
        <f t="shared" si="1"/>
        <v>100</v>
      </c>
      <c r="V15" s="1146" t="s">
        <v>61</v>
      </c>
      <c r="W15" s="1147">
        <f t="shared" si="2"/>
        <v>100</v>
      </c>
      <c r="X15" s="1133"/>
      <c r="Y15" s="3439"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53"/>
      <c r="Q16" s="1145"/>
      <c r="R16" s="1146"/>
      <c r="S16" s="1147"/>
      <c r="T16" s="1146"/>
      <c r="U16" s="1147"/>
      <c r="V16" s="1146"/>
      <c r="W16" s="1147"/>
      <c r="X16" s="1133"/>
      <c r="Y16" s="3440"/>
      <c r="Z16" s="1148"/>
      <c r="AA16" s="1149">
        <v>1</v>
      </c>
      <c r="AB16" s="1149">
        <v>1</v>
      </c>
      <c r="AC16" s="1149">
        <v>1</v>
      </c>
    </row>
    <row r="17" spans="1:29" ht="135">
      <c r="A17" s="98"/>
      <c r="B17" s="1150" t="s">
        <v>67</v>
      </c>
      <c r="C17" s="108" t="str">
        <f>估价对象房地状况!C6</f>
        <v>以估价对象为中心半径2公里范围内最高级别道路为城市次干道——燕灵路，有快速直达专线61路，综合评价交通便捷度一般</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53"/>
      <c r="Q17" s="1145" t="str">
        <f>B17</f>
        <v>交通便捷度</v>
      </c>
      <c r="R17" s="1146" t="s">
        <v>61</v>
      </c>
      <c r="S17" s="1147">
        <f>F17</f>
        <v>100</v>
      </c>
      <c r="T17" s="1146" t="s">
        <v>61</v>
      </c>
      <c r="U17" s="1147">
        <f>H17</f>
        <v>100</v>
      </c>
      <c r="V17" s="1146" t="s">
        <v>61</v>
      </c>
      <c r="W17" s="1147">
        <f>J17</f>
        <v>100</v>
      </c>
      <c r="X17" s="1133"/>
      <c r="Y17" s="3440"/>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53"/>
      <c r="Q18" s="1145"/>
      <c r="R18" s="1146"/>
      <c r="S18" s="1147"/>
      <c r="T18" s="1146"/>
      <c r="U18" s="1147"/>
      <c r="V18" s="1146"/>
      <c r="W18" s="1147"/>
      <c r="X18" s="1133"/>
      <c r="Y18" s="3440"/>
      <c r="Z18" s="1148"/>
      <c r="AA18" s="1149">
        <v>1</v>
      </c>
      <c r="AB18" s="1149">
        <v>1</v>
      </c>
      <c r="AC18" s="1149">
        <v>1</v>
      </c>
    </row>
    <row r="19" spans="1:29" ht="54">
      <c r="A19" s="98"/>
      <c r="B19" s="1150" t="s">
        <v>2549</v>
      </c>
      <c r="C19" s="108" t="str">
        <f>估价对象房地状况!C7</f>
        <v>估价对象所在区域公共配套设施成熟度一般</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53"/>
      <c r="Q19" s="1145" t="str">
        <f>B19</f>
        <v>公共配套设施</v>
      </c>
      <c r="R19" s="1146" t="s">
        <v>61</v>
      </c>
      <c r="S19" s="1147">
        <f>F19</f>
        <v>100</v>
      </c>
      <c r="T19" s="1146" t="s">
        <v>61</v>
      </c>
      <c r="U19" s="1147">
        <f>H19</f>
        <v>100</v>
      </c>
      <c r="V19" s="1146" t="s">
        <v>61</v>
      </c>
      <c r="W19" s="1147">
        <f>J19</f>
        <v>100</v>
      </c>
      <c r="X19" s="1133"/>
      <c r="Y19" s="3440"/>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53"/>
      <c r="Q20" s="1145"/>
      <c r="R20" s="1146"/>
      <c r="S20" s="1147"/>
      <c r="T20" s="1146"/>
      <c r="U20" s="1147"/>
      <c r="V20" s="1146"/>
      <c r="W20" s="1147"/>
      <c r="X20" s="1133"/>
      <c r="Y20" s="3440"/>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53"/>
      <c r="Q21" s="2550" t="str">
        <f>B21</f>
        <v>基础设施水平</v>
      </c>
      <c r="R21" s="1146" t="s">
        <v>61</v>
      </c>
      <c r="S21" s="1147">
        <f>F21</f>
        <v>100</v>
      </c>
      <c r="T21" s="1146" t="s">
        <v>61</v>
      </c>
      <c r="U21" s="1147">
        <f>H21</f>
        <v>100</v>
      </c>
      <c r="V21" s="1146" t="s">
        <v>61</v>
      </c>
      <c r="W21" s="1147">
        <f>J21</f>
        <v>100</v>
      </c>
      <c r="X21" s="2548"/>
      <c r="Y21" s="3440"/>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53"/>
      <c r="Q22" s="2550"/>
      <c r="R22" s="1146"/>
      <c r="S22" s="1147"/>
      <c r="T22" s="1146"/>
      <c r="U22" s="1147"/>
      <c r="V22" s="1146"/>
      <c r="W22" s="1147"/>
      <c r="X22" s="2548"/>
      <c r="Y22" s="3440"/>
      <c r="Z22" s="2549"/>
      <c r="AA22" s="1149">
        <v>1</v>
      </c>
      <c r="AB22" s="1149">
        <v>1</v>
      </c>
      <c r="AC22" s="1149">
        <v>1</v>
      </c>
    </row>
    <row r="23" spans="1:29" ht="121.5">
      <c r="A23" s="98"/>
      <c r="B23" s="1150" t="s">
        <v>68</v>
      </c>
      <c r="C23" s="142" t="str">
        <f>估价对象房地状况!C9</f>
        <v>区域自然环境：燕郊滨河森林公园东区、燕郊植物园等；人文环境：燕京理工学院；综合评价环境状况较好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53"/>
      <c r="Q23" s="1145" t="str">
        <f>B23</f>
        <v>自然及人文环境</v>
      </c>
      <c r="R23" s="1146" t="s">
        <v>61</v>
      </c>
      <c r="S23" s="1147">
        <f>F23</f>
        <v>100</v>
      </c>
      <c r="T23" s="1146" t="s">
        <v>61</v>
      </c>
      <c r="U23" s="1147">
        <f>H23</f>
        <v>100</v>
      </c>
      <c r="V23" s="1146" t="s">
        <v>61</v>
      </c>
      <c r="W23" s="1147">
        <f>J23</f>
        <v>100</v>
      </c>
      <c r="X23" s="1133"/>
      <c r="Y23" s="3440"/>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53"/>
      <c r="Q24" s="1145"/>
      <c r="R24" s="1146"/>
      <c r="S24" s="1147"/>
      <c r="T24" s="1146"/>
      <c r="U24" s="1147"/>
      <c r="V24" s="1146"/>
      <c r="W24" s="1147"/>
      <c r="X24" s="1133"/>
      <c r="Y24" s="3440"/>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53"/>
      <c r="Q25" s="1145" t="str">
        <f t="shared" ref="Q25:Q46" si="11">B25</f>
        <v>临街状况</v>
      </c>
      <c r="R25" s="1146" t="s">
        <v>61</v>
      </c>
      <c r="S25" s="1147">
        <f>F25</f>
        <v>100</v>
      </c>
      <c r="T25" s="1146" t="s">
        <v>61</v>
      </c>
      <c r="U25" s="1147">
        <f>H25</f>
        <v>100</v>
      </c>
      <c r="V25" s="1146" t="s">
        <v>61</v>
      </c>
      <c r="W25" s="1147">
        <f>J25</f>
        <v>100</v>
      </c>
      <c r="X25" s="1133"/>
      <c r="Y25" s="3440"/>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53"/>
      <c r="Q26" s="1145" t="str">
        <f t="shared" si="11"/>
        <v>平面位置/可视性</v>
      </c>
      <c r="R26" s="1146" t="s">
        <v>61</v>
      </c>
      <c r="S26" s="1147">
        <f>F26</f>
        <v>100</v>
      </c>
      <c r="T26" s="1146" t="s">
        <v>61</v>
      </c>
      <c r="U26" s="1147">
        <f>H26</f>
        <v>100</v>
      </c>
      <c r="V26" s="1146" t="s">
        <v>61</v>
      </c>
      <c r="W26" s="1147">
        <f>J26</f>
        <v>100</v>
      </c>
      <c r="X26" s="1133"/>
      <c r="Y26" s="3440"/>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53"/>
      <c r="Q27" s="2" t="str">
        <f t="shared" si="11"/>
        <v>人流量</v>
      </c>
      <c r="R27" s="1135" t="s">
        <v>61</v>
      </c>
      <c r="S27" s="1136">
        <f>F27</f>
        <v>100</v>
      </c>
      <c r="T27" s="1135" t="s">
        <v>61</v>
      </c>
      <c r="U27" s="1136">
        <f>H27</f>
        <v>100</v>
      </c>
      <c r="V27" s="1135" t="s">
        <v>61</v>
      </c>
      <c r="W27" s="1136">
        <f>J27</f>
        <v>100</v>
      </c>
      <c r="X27" s="184"/>
      <c r="Y27" s="3440"/>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53"/>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40"/>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53"/>
      <c r="Q29" s="1145">
        <f t="shared" si="11"/>
        <v>111</v>
      </c>
      <c r="R29" s="1146" t="s">
        <v>61</v>
      </c>
      <c r="S29" s="1147">
        <f t="shared" si="12"/>
        <v>100</v>
      </c>
      <c r="T29" s="1146" t="s">
        <v>61</v>
      </c>
      <c r="U29" s="1147">
        <f t="shared" si="13"/>
        <v>100</v>
      </c>
      <c r="V29" s="1146" t="s">
        <v>61</v>
      </c>
      <c r="W29" s="1147">
        <f t="shared" si="14"/>
        <v>100</v>
      </c>
      <c r="X29" s="1133"/>
      <c r="Y29" s="3440"/>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53"/>
      <c r="Q30" s="1145">
        <f t="shared" si="11"/>
        <v>111</v>
      </c>
      <c r="R30" s="1146" t="s">
        <v>61</v>
      </c>
      <c r="S30" s="1147">
        <f t="shared" si="12"/>
        <v>100</v>
      </c>
      <c r="T30" s="1146" t="s">
        <v>61</v>
      </c>
      <c r="U30" s="1147">
        <f t="shared" si="13"/>
        <v>100</v>
      </c>
      <c r="V30" s="1146" t="s">
        <v>61</v>
      </c>
      <c r="W30" s="1147">
        <f t="shared" si="14"/>
        <v>100</v>
      </c>
      <c r="X30" s="1133"/>
      <c r="Y30" s="3440"/>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53"/>
      <c r="Q31" s="1145">
        <f t="shared" si="11"/>
        <v>111</v>
      </c>
      <c r="R31" s="1146" t="s">
        <v>61</v>
      </c>
      <c r="S31" s="1147">
        <f t="shared" si="12"/>
        <v>100</v>
      </c>
      <c r="T31" s="1146" t="s">
        <v>61</v>
      </c>
      <c r="U31" s="1147">
        <f t="shared" si="13"/>
        <v>100</v>
      </c>
      <c r="V31" s="1146" t="s">
        <v>61</v>
      </c>
      <c r="W31" s="1147">
        <f t="shared" si="14"/>
        <v>100</v>
      </c>
      <c r="X31" s="1133"/>
      <c r="Y31" s="3440"/>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41" t="s">
        <v>936</v>
      </c>
      <c r="Q32" s="1145" t="str">
        <f t="shared" si="11"/>
        <v>商业类型</v>
      </c>
      <c r="R32" s="1146" t="s">
        <v>61</v>
      </c>
      <c r="S32" s="1147">
        <f t="shared" si="12"/>
        <v>100</v>
      </c>
      <c r="T32" s="1146" t="s">
        <v>61</v>
      </c>
      <c r="U32" s="1147">
        <f t="shared" si="13"/>
        <v>100</v>
      </c>
      <c r="V32" s="1146" t="s">
        <v>61</v>
      </c>
      <c r="W32" s="1147">
        <f t="shared" si="14"/>
        <v>100</v>
      </c>
      <c r="X32" s="1133"/>
      <c r="Y32" s="3444"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42"/>
      <c r="Q33" s="1153" t="str">
        <f t="shared" si="11"/>
        <v>项目建筑规模</v>
      </c>
      <c r="R33" s="1154" t="s">
        <v>61</v>
      </c>
      <c r="S33" s="1155" t="e">
        <f t="shared" si="12"/>
        <v>#N/A</v>
      </c>
      <c r="T33" s="1154" t="s">
        <v>61</v>
      </c>
      <c r="U33" s="1155" t="e">
        <f t="shared" si="13"/>
        <v>#N/A</v>
      </c>
      <c r="V33" s="1154" t="s">
        <v>61</v>
      </c>
      <c r="W33" s="1155" t="e">
        <f t="shared" si="14"/>
        <v>#N/A</v>
      </c>
      <c r="X33" s="1156"/>
      <c r="Y33" s="3444"/>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42"/>
      <c r="Q34" s="1145" t="str">
        <f t="shared" si="11"/>
        <v>建筑结构</v>
      </c>
      <c r="R34" s="1146" t="s">
        <v>61</v>
      </c>
      <c r="S34" s="1147">
        <f t="shared" si="12"/>
        <v>100</v>
      </c>
      <c r="T34" s="1146" t="s">
        <v>61</v>
      </c>
      <c r="U34" s="1147">
        <f t="shared" si="13"/>
        <v>100</v>
      </c>
      <c r="V34" s="1146" t="s">
        <v>61</v>
      </c>
      <c r="W34" s="1147">
        <f t="shared" si="14"/>
        <v>100</v>
      </c>
      <c r="X34" s="1133"/>
      <c r="Y34" s="3444"/>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42"/>
      <c r="Q35" s="1145" t="str">
        <f t="shared" si="11"/>
        <v>公共部分装修</v>
      </c>
      <c r="R35" s="1146" t="s">
        <v>61</v>
      </c>
      <c r="S35" s="1147">
        <f t="shared" si="12"/>
        <v>100</v>
      </c>
      <c r="T35" s="1146" t="s">
        <v>61</v>
      </c>
      <c r="U35" s="1147">
        <f t="shared" si="13"/>
        <v>100</v>
      </c>
      <c r="V35" s="1146" t="s">
        <v>61</v>
      </c>
      <c r="W35" s="1147">
        <f t="shared" si="14"/>
        <v>100</v>
      </c>
      <c r="X35" s="1133"/>
      <c r="Y35" s="3444"/>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42"/>
      <c r="Q36" s="1145" t="str">
        <f t="shared" si="11"/>
        <v>成新度</v>
      </c>
      <c r="R36" s="1146" t="s">
        <v>61</v>
      </c>
      <c r="S36" s="1147" t="e">
        <f t="shared" si="12"/>
        <v>#N/A</v>
      </c>
      <c r="T36" s="1146" t="s">
        <v>61</v>
      </c>
      <c r="U36" s="1147" t="e">
        <f t="shared" si="13"/>
        <v>#N/A</v>
      </c>
      <c r="V36" s="1146" t="s">
        <v>61</v>
      </c>
      <c r="W36" s="1147" t="e">
        <f t="shared" si="14"/>
        <v>#N/A</v>
      </c>
      <c r="X36" s="1133"/>
      <c r="Y36" s="3444"/>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42"/>
      <c r="Q37" s="2" t="str">
        <f t="shared" si="11"/>
        <v>市政基础设施</v>
      </c>
      <c r="R37" s="1135" t="s">
        <v>61</v>
      </c>
      <c r="S37" s="1136">
        <f t="shared" si="12"/>
        <v>100</v>
      </c>
      <c r="T37" s="1135" t="s">
        <v>61</v>
      </c>
      <c r="U37" s="1136">
        <f t="shared" si="13"/>
        <v>100</v>
      </c>
      <c r="V37" s="1135" t="s">
        <v>61</v>
      </c>
      <c r="W37" s="1136">
        <f t="shared" si="14"/>
        <v>100</v>
      </c>
      <c r="X37" s="184"/>
      <c r="Y37" s="3444"/>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42" t="s">
        <v>939</v>
      </c>
      <c r="Q38" s="1145" t="str">
        <f t="shared" si="11"/>
        <v>业态</v>
      </c>
      <c r="R38" s="1146" t="s">
        <v>61</v>
      </c>
      <c r="S38" s="1147">
        <f t="shared" si="12"/>
        <v>100</v>
      </c>
      <c r="T38" s="1146" t="s">
        <v>61</v>
      </c>
      <c r="U38" s="1147">
        <f t="shared" si="13"/>
        <v>100</v>
      </c>
      <c r="V38" s="1146" t="s">
        <v>61</v>
      </c>
      <c r="W38" s="1147">
        <f t="shared" si="14"/>
        <v>100</v>
      </c>
      <c r="X38" s="1133"/>
      <c r="Y38" s="3444"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42"/>
      <c r="Q39" s="1145" t="str">
        <f t="shared" si="11"/>
        <v>层高</v>
      </c>
      <c r="R39" s="1146" t="s">
        <v>61</v>
      </c>
      <c r="S39" s="1147">
        <f t="shared" si="12"/>
        <v>100</v>
      </c>
      <c r="T39" s="1146" t="s">
        <v>61</v>
      </c>
      <c r="U39" s="1147">
        <f t="shared" si="13"/>
        <v>100</v>
      </c>
      <c r="V39" s="1146" t="s">
        <v>61</v>
      </c>
      <c r="W39" s="1147">
        <f t="shared" si="14"/>
        <v>100</v>
      </c>
      <c r="X39" s="1133"/>
      <c r="Y39" s="3444"/>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42"/>
      <c r="Q40" s="1145" t="str">
        <f t="shared" si="11"/>
        <v>单套建筑面积</v>
      </c>
      <c r="R40" s="1146" t="s">
        <v>61</v>
      </c>
      <c r="S40" s="1147">
        <f t="shared" si="12"/>
        <v>100</v>
      </c>
      <c r="T40" s="1146" t="s">
        <v>61</v>
      </c>
      <c r="U40" s="1147">
        <f t="shared" si="13"/>
        <v>100</v>
      </c>
      <c r="V40" s="1146" t="s">
        <v>61</v>
      </c>
      <c r="W40" s="1147">
        <f t="shared" si="14"/>
        <v>100</v>
      </c>
      <c r="X40" s="1133"/>
      <c r="Y40" s="3444"/>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42"/>
      <c r="Q41" s="1153" t="str">
        <f t="shared" si="11"/>
        <v>进深比</v>
      </c>
      <c r="R41" s="1154" t="s">
        <v>61</v>
      </c>
      <c r="S41" s="1155">
        <f t="shared" si="12"/>
        <v>100</v>
      </c>
      <c r="T41" s="1154" t="s">
        <v>61</v>
      </c>
      <c r="U41" s="1155">
        <f t="shared" si="13"/>
        <v>100</v>
      </c>
      <c r="V41" s="1154" t="s">
        <v>61</v>
      </c>
      <c r="W41" s="1155">
        <f t="shared" si="14"/>
        <v>100</v>
      </c>
      <c r="X41" s="1156"/>
      <c r="Y41" s="3444"/>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42"/>
      <c r="Q42" s="1145" t="str">
        <f t="shared" si="11"/>
        <v>内部装修</v>
      </c>
      <c r="R42" s="1146" t="s">
        <v>61</v>
      </c>
      <c r="S42" s="1147">
        <f t="shared" si="12"/>
        <v>100</v>
      </c>
      <c r="T42" s="1146" t="s">
        <v>61</v>
      </c>
      <c r="U42" s="1147">
        <f t="shared" si="13"/>
        <v>100</v>
      </c>
      <c r="V42" s="1146" t="s">
        <v>61</v>
      </c>
      <c r="W42" s="1147">
        <f t="shared" si="14"/>
        <v>100</v>
      </c>
      <c r="X42" s="1133"/>
      <c r="Y42" s="3444"/>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42"/>
      <c r="Q43" s="1145" t="str">
        <f t="shared" si="11"/>
        <v>内部装修维护情况</v>
      </c>
      <c r="R43" s="1146" t="s">
        <v>61</v>
      </c>
      <c r="S43" s="1147">
        <f t="shared" si="12"/>
        <v>100</v>
      </c>
      <c r="T43" s="1146" t="s">
        <v>61</v>
      </c>
      <c r="U43" s="1147">
        <f t="shared" si="13"/>
        <v>100</v>
      </c>
      <c r="V43" s="1146" t="s">
        <v>61</v>
      </c>
      <c r="W43" s="1147">
        <f t="shared" si="14"/>
        <v>100</v>
      </c>
      <c r="X43" s="1133"/>
      <c r="Y43" s="3444"/>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42"/>
      <c r="Q44" s="2">
        <f t="shared" si="11"/>
        <v>111</v>
      </c>
      <c r="R44" s="1135" t="s">
        <v>61</v>
      </c>
      <c r="S44" s="1136">
        <f t="shared" si="12"/>
        <v>100</v>
      </c>
      <c r="T44" s="1135" t="s">
        <v>61</v>
      </c>
      <c r="U44" s="1136">
        <f t="shared" si="13"/>
        <v>100</v>
      </c>
      <c r="V44" s="1135" t="s">
        <v>61</v>
      </c>
      <c r="W44" s="1136">
        <f t="shared" si="14"/>
        <v>100</v>
      </c>
      <c r="X44" s="184"/>
      <c r="Y44" s="3444"/>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42"/>
      <c r="Q45" s="1145">
        <f t="shared" si="11"/>
        <v>111</v>
      </c>
      <c r="R45" s="1146" t="s">
        <v>61</v>
      </c>
      <c r="S45" s="1147">
        <f t="shared" si="12"/>
        <v>100</v>
      </c>
      <c r="T45" s="1146" t="s">
        <v>61</v>
      </c>
      <c r="U45" s="1147">
        <f t="shared" si="13"/>
        <v>100</v>
      </c>
      <c r="V45" s="1146" t="s">
        <v>61</v>
      </c>
      <c r="W45" s="1147">
        <f t="shared" si="14"/>
        <v>100</v>
      </c>
      <c r="X45" s="1133"/>
      <c r="Y45" s="3444"/>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43"/>
      <c r="Q46" s="1145">
        <f t="shared" si="11"/>
        <v>111</v>
      </c>
      <c r="R46" s="1146" t="s">
        <v>61</v>
      </c>
      <c r="S46" s="1147">
        <f t="shared" si="12"/>
        <v>100</v>
      </c>
      <c r="T46" s="1146" t="s">
        <v>61</v>
      </c>
      <c r="U46" s="1147">
        <f t="shared" si="13"/>
        <v>100</v>
      </c>
      <c r="V46" s="1146" t="s">
        <v>61</v>
      </c>
      <c r="W46" s="1147">
        <f t="shared" si="14"/>
        <v>100</v>
      </c>
      <c r="X46" s="1133"/>
      <c r="Y46" s="3445"/>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50" t="str">
        <f>A47</f>
        <v>成交单价（元/平方米）</v>
      </c>
      <c r="Q47" s="3450"/>
      <c r="R47" s="3451">
        <f>E47</f>
        <v>0</v>
      </c>
      <c r="S47" s="3451"/>
      <c r="T47" s="3451">
        <f>G47</f>
        <v>0</v>
      </c>
      <c r="U47" s="3451"/>
      <c r="V47" s="3451">
        <f>I47</f>
        <v>0</v>
      </c>
      <c r="W47" s="3451"/>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50" t="str">
        <f>A48</f>
        <v>比较价值（元/平方米）</v>
      </c>
      <c r="Q48" s="3450"/>
      <c r="R48" s="3451" t="e">
        <f>IF(E1="售价",ROUND(PRODUCT(R47,AA7:AA46),0),ROUND(PRODUCT(R47,AA7:AA46),1))</f>
        <v>#DIV/0!</v>
      </c>
      <c r="S48" s="3451"/>
      <c r="T48" s="3451" t="e">
        <f>IF(E1="售价",ROUND(PRODUCT(T47,AB7:AB46),0),ROUND(PRODUCT(T47,AB7:AB46),1))</f>
        <v>#DIV/0!</v>
      </c>
      <c r="U48" s="3451"/>
      <c r="V48" s="3451" t="e">
        <f>IF(E1="售价",ROUND(PRODUCT(V47,AC7:AC46),0),ROUND(PRODUCT(V47,AC7:AC46),1))</f>
        <v>#DIV/0!</v>
      </c>
      <c r="W48" s="3451"/>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56" t="str">
        <f>A49</f>
        <v>估价对象XX用房的比较价值（楼面单价，元/平方米）</v>
      </c>
      <c r="Q49" s="3457"/>
      <c r="R49" s="3458" t="e">
        <f>IF(E1="售价",ROUND(AVERAGE(R48:V48),0),ROUND(AVERAGE(R48:V48),1))</f>
        <v>#DIV/0!</v>
      </c>
      <c r="S49" s="3458"/>
      <c r="T49" s="3458"/>
      <c r="U49" s="3458"/>
      <c r="V49" s="3458"/>
      <c r="W49" s="3458"/>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2017-8</v>
      </c>
      <c r="D58" s="2806">
        <f>EDATE(C58,-1)</f>
        <v>42917</v>
      </c>
      <c r="E58" s="2806">
        <f t="shared" ref="E58:O58" si="16">EDATE(D58,-1)</f>
        <v>42887</v>
      </c>
      <c r="F58" s="2806">
        <f t="shared" si="16"/>
        <v>42856</v>
      </c>
      <c r="G58" s="2806">
        <f t="shared" si="16"/>
        <v>42826</v>
      </c>
      <c r="H58" s="2806">
        <f t="shared" si="16"/>
        <v>42795</v>
      </c>
      <c r="I58" s="2806">
        <f t="shared" si="16"/>
        <v>42767</v>
      </c>
      <c r="J58" s="2806">
        <f t="shared" si="16"/>
        <v>42736</v>
      </c>
      <c r="K58" s="2806">
        <f t="shared" si="16"/>
        <v>42705</v>
      </c>
      <c r="L58" s="2806">
        <f t="shared" si="16"/>
        <v>42675</v>
      </c>
      <c r="M58" s="2806">
        <f t="shared" si="16"/>
        <v>42644</v>
      </c>
      <c r="N58" s="2806">
        <f t="shared" si="16"/>
        <v>42614</v>
      </c>
      <c r="O58" s="2806">
        <f t="shared" si="16"/>
        <v>42583</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80.09</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14" t="s">
        <v>985</v>
      </c>
      <c r="D4" s="3415"/>
      <c r="E4" s="3416" t="s">
        <v>986</v>
      </c>
      <c r="F4" s="3417"/>
      <c r="G4" s="3414" t="s">
        <v>987</v>
      </c>
      <c r="H4" s="3415"/>
      <c r="I4" s="3414" t="s">
        <v>988</v>
      </c>
      <c r="J4" s="3415"/>
      <c r="K4" s="139" t="s">
        <v>989</v>
      </c>
      <c r="L4" s="2164"/>
      <c r="M4" s="2165"/>
      <c r="N4" s="2165"/>
      <c r="O4" s="2165"/>
      <c r="P4" s="3463" t="s">
        <v>984</v>
      </c>
      <c r="Q4" s="3419"/>
      <c r="R4" s="3424" t="s">
        <v>986</v>
      </c>
      <c r="S4" s="3425"/>
      <c r="T4" s="3424" t="s">
        <v>987</v>
      </c>
      <c r="U4" s="3425"/>
      <c r="V4" s="3430" t="s">
        <v>988</v>
      </c>
      <c r="W4" s="3430"/>
      <c r="X4" s="1133"/>
      <c r="Y4" s="3424" t="s">
        <v>984</v>
      </c>
      <c r="Z4" s="3425"/>
      <c r="AA4" s="3411" t="s">
        <v>986</v>
      </c>
      <c r="AB4" s="3411" t="s">
        <v>987</v>
      </c>
      <c r="AC4" s="3411" t="s">
        <v>988</v>
      </c>
    </row>
    <row r="5" spans="1:29">
      <c r="A5" s="93"/>
      <c r="B5" s="94"/>
      <c r="C5" s="3459" t="s">
        <v>990</v>
      </c>
      <c r="D5" s="3460"/>
      <c r="E5" s="3461" t="s">
        <v>991</v>
      </c>
      <c r="F5" s="3462"/>
      <c r="G5" s="3459" t="s">
        <v>992</v>
      </c>
      <c r="H5" s="3460"/>
      <c r="I5" s="3459" t="s">
        <v>993</v>
      </c>
      <c r="J5" s="3460"/>
      <c r="K5" s="139"/>
      <c r="L5" s="2164"/>
      <c r="M5" s="2165"/>
      <c r="N5" s="2165"/>
      <c r="O5" s="2165"/>
      <c r="P5" s="3464"/>
      <c r="Q5" s="3421"/>
      <c r="R5" s="3426"/>
      <c r="S5" s="3427"/>
      <c r="T5" s="3426"/>
      <c r="U5" s="3427"/>
      <c r="V5" s="3430"/>
      <c r="W5" s="3430"/>
      <c r="X5" s="1133"/>
      <c r="Y5" s="3426"/>
      <c r="Z5" s="3427"/>
      <c r="AA5" s="3412"/>
      <c r="AB5" s="3412"/>
      <c r="AC5" s="3412"/>
    </row>
    <row r="6" spans="1:29" ht="14.25" thickBot="1">
      <c r="A6" s="95"/>
      <c r="B6" s="96"/>
      <c r="C6" s="3435" t="s">
        <v>994</v>
      </c>
      <c r="D6" s="3436"/>
      <c r="E6" s="3437" t="s">
        <v>994</v>
      </c>
      <c r="F6" s="3438"/>
      <c r="G6" s="3435" t="s">
        <v>994</v>
      </c>
      <c r="H6" s="3436"/>
      <c r="I6" s="3435" t="s">
        <v>994</v>
      </c>
      <c r="J6" s="3436"/>
      <c r="K6" s="139" t="s">
        <v>995</v>
      </c>
      <c r="L6" s="2164"/>
      <c r="M6" s="2165"/>
      <c r="N6" s="2165"/>
      <c r="O6" s="2165"/>
      <c r="P6" s="3465"/>
      <c r="Q6" s="3423"/>
      <c r="R6" s="3426"/>
      <c r="S6" s="3427"/>
      <c r="T6" s="3428"/>
      <c r="U6" s="3429"/>
      <c r="V6" s="3430"/>
      <c r="W6" s="3430"/>
      <c r="X6" s="1133"/>
      <c r="Y6" s="3428"/>
      <c r="Z6" s="3429"/>
      <c r="AA6" s="3413"/>
      <c r="AB6" s="3413"/>
      <c r="AC6" s="3413"/>
    </row>
    <row r="7" spans="1:29" s="11" customFormat="1" ht="15" thickBot="1">
      <c r="A7" s="872" t="s">
        <v>996</v>
      </c>
      <c r="B7" s="873"/>
      <c r="C7" s="607">
        <f>'数据-取费表'!B2</f>
        <v>42969</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48" t="s">
        <v>996</v>
      </c>
      <c r="Q7" s="3448"/>
      <c r="R7" s="1135" t="s">
        <v>61</v>
      </c>
      <c r="S7" s="1136">
        <f t="shared" ref="S7:S15" si="0">F7</f>
        <v>0</v>
      </c>
      <c r="T7" s="1135" t="s">
        <v>61</v>
      </c>
      <c r="U7" s="1136">
        <f t="shared" ref="U7:U15" si="1">H7</f>
        <v>0</v>
      </c>
      <c r="V7" s="1135" t="s">
        <v>61</v>
      </c>
      <c r="W7" s="1136">
        <f t="shared" ref="W7:W15" si="2">J7</f>
        <v>0</v>
      </c>
      <c r="X7" s="184"/>
      <c r="Y7" s="3446" t="s">
        <v>996</v>
      </c>
      <c r="Z7" s="3447"/>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48" t="s">
        <v>929</v>
      </c>
      <c r="Q8" s="3447"/>
      <c r="R8" s="1135" t="s">
        <v>61</v>
      </c>
      <c r="S8" s="1136">
        <f t="shared" si="0"/>
        <v>0</v>
      </c>
      <c r="T8" s="1135" t="s">
        <v>61</v>
      </c>
      <c r="U8" s="1136">
        <f t="shared" si="1"/>
        <v>0</v>
      </c>
      <c r="V8" s="1135" t="s">
        <v>61</v>
      </c>
      <c r="W8" s="1136">
        <f t="shared" si="2"/>
        <v>0</v>
      </c>
      <c r="X8" s="184"/>
      <c r="Y8" s="3446" t="s">
        <v>929</v>
      </c>
      <c r="Z8" s="3447"/>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57" t="s">
        <v>63</v>
      </c>
      <c r="Q9" s="2" t="str">
        <f t="shared" ref="Q9:Q15" si="6">B9</f>
        <v>用途</v>
      </c>
      <c r="R9" s="1135" t="s">
        <v>61</v>
      </c>
      <c r="S9" s="1136">
        <f t="shared" si="0"/>
        <v>100</v>
      </c>
      <c r="T9" s="1135" t="s">
        <v>61</v>
      </c>
      <c r="U9" s="1136">
        <f t="shared" si="1"/>
        <v>100</v>
      </c>
      <c r="V9" s="1135" t="s">
        <v>61</v>
      </c>
      <c r="W9" s="1136">
        <f t="shared" si="2"/>
        <v>100</v>
      </c>
      <c r="X9" s="184"/>
      <c r="Y9" s="325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57"/>
      <c r="Q10" s="2" t="str">
        <f t="shared" si="6"/>
        <v>土地使用年限（年）</v>
      </c>
      <c r="R10" s="1135" t="s">
        <v>61</v>
      </c>
      <c r="S10" s="1136">
        <f t="shared" si="0"/>
        <v>100</v>
      </c>
      <c r="T10" s="1135" t="s">
        <v>61</v>
      </c>
      <c r="U10" s="1136">
        <f t="shared" si="1"/>
        <v>100</v>
      </c>
      <c r="V10" s="1135" t="s">
        <v>61</v>
      </c>
      <c r="W10" s="1136">
        <f t="shared" si="2"/>
        <v>100</v>
      </c>
      <c r="X10" s="184"/>
      <c r="Y10" s="3250"/>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57"/>
      <c r="Q11" s="2" t="str">
        <f t="shared" si="6"/>
        <v>容积率</v>
      </c>
      <c r="R11" s="1135" t="s">
        <v>61</v>
      </c>
      <c r="S11" s="1136" t="e">
        <f t="shared" si="0"/>
        <v>#N/A</v>
      </c>
      <c r="T11" s="1135" t="s">
        <v>61</v>
      </c>
      <c r="U11" s="1136" t="e">
        <f t="shared" si="1"/>
        <v>#N/A</v>
      </c>
      <c r="V11" s="1135" t="s">
        <v>61</v>
      </c>
      <c r="W11" s="1136" t="e">
        <f t="shared" si="2"/>
        <v>#N/A</v>
      </c>
      <c r="X11" s="184"/>
      <c r="Y11" s="3250"/>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57"/>
      <c r="Q12" s="2">
        <f t="shared" si="6"/>
        <v>111</v>
      </c>
      <c r="R12" s="1135" t="s">
        <v>61</v>
      </c>
      <c r="S12" s="1136">
        <f t="shared" si="0"/>
        <v>100</v>
      </c>
      <c r="T12" s="1135" t="s">
        <v>61</v>
      </c>
      <c r="U12" s="1136">
        <f t="shared" si="1"/>
        <v>100</v>
      </c>
      <c r="V12" s="1135" t="s">
        <v>61</v>
      </c>
      <c r="W12" s="1136">
        <f t="shared" si="2"/>
        <v>100</v>
      </c>
      <c r="X12" s="184"/>
      <c r="Y12" s="3250"/>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57"/>
      <c r="Q13" s="2">
        <f t="shared" si="6"/>
        <v>111</v>
      </c>
      <c r="R13" s="1135" t="s">
        <v>61</v>
      </c>
      <c r="S13" s="1136">
        <f t="shared" si="0"/>
        <v>100</v>
      </c>
      <c r="T13" s="1135" t="s">
        <v>61</v>
      </c>
      <c r="U13" s="1136">
        <f t="shared" si="1"/>
        <v>100</v>
      </c>
      <c r="V13" s="1135" t="s">
        <v>61</v>
      </c>
      <c r="W13" s="1136">
        <f t="shared" si="2"/>
        <v>100</v>
      </c>
      <c r="X13" s="184"/>
      <c r="Y13" s="3250"/>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57"/>
      <c r="Q14" s="2">
        <f t="shared" si="6"/>
        <v>111</v>
      </c>
      <c r="R14" s="1135" t="s">
        <v>61</v>
      </c>
      <c r="S14" s="1136">
        <f t="shared" si="0"/>
        <v>100</v>
      </c>
      <c r="T14" s="1135" t="s">
        <v>61</v>
      </c>
      <c r="U14" s="1136">
        <f t="shared" si="1"/>
        <v>100</v>
      </c>
      <c r="V14" s="1135" t="s">
        <v>61</v>
      </c>
      <c r="W14" s="1136">
        <f t="shared" si="2"/>
        <v>100</v>
      </c>
      <c r="X14" s="184"/>
      <c r="Y14" s="3250"/>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19" t="s">
        <v>65</v>
      </c>
      <c r="Q15" s="1145" t="str">
        <f t="shared" si="6"/>
        <v>办公集聚程度</v>
      </c>
      <c r="R15" s="1146" t="s">
        <v>61</v>
      </c>
      <c r="S15" s="1147">
        <f t="shared" si="0"/>
        <v>100</v>
      </c>
      <c r="T15" s="1146" t="s">
        <v>61</v>
      </c>
      <c r="U15" s="1147">
        <f t="shared" si="1"/>
        <v>100</v>
      </c>
      <c r="V15" s="1146" t="s">
        <v>61</v>
      </c>
      <c r="W15" s="1147">
        <f t="shared" si="2"/>
        <v>100</v>
      </c>
      <c r="X15" s="1133"/>
      <c r="Y15" s="3439"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21"/>
      <c r="Q16" s="1145"/>
      <c r="R16" s="1146"/>
      <c r="S16" s="1147"/>
      <c r="T16" s="1146"/>
      <c r="U16" s="1147"/>
      <c r="V16" s="1146"/>
      <c r="W16" s="1147"/>
      <c r="X16" s="1133"/>
      <c r="Y16" s="3440"/>
      <c r="Z16" s="1148"/>
      <c r="AA16" s="1149">
        <v>1</v>
      </c>
      <c r="AB16" s="1149">
        <v>1</v>
      </c>
      <c r="AC16" s="1149">
        <v>1</v>
      </c>
    </row>
    <row r="17" spans="1:29" ht="135">
      <c r="A17" s="98"/>
      <c r="B17" s="892" t="s">
        <v>67</v>
      </c>
      <c r="C17" s="162" t="str">
        <f>估价对象房地状况!C6</f>
        <v>以估价对象为中心半径2公里范围内最高级别道路为城市次干道——燕灵路，有快速直达专线61路，综合评价交通便捷度一般</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21"/>
      <c r="Q17" s="1145" t="str">
        <f>B17</f>
        <v>交通便捷度</v>
      </c>
      <c r="R17" s="1146" t="s">
        <v>61</v>
      </c>
      <c r="S17" s="1147">
        <f>F17</f>
        <v>100</v>
      </c>
      <c r="T17" s="1146" t="s">
        <v>61</v>
      </c>
      <c r="U17" s="1147">
        <f>H17</f>
        <v>100</v>
      </c>
      <c r="V17" s="1146" t="s">
        <v>61</v>
      </c>
      <c r="W17" s="1147">
        <f>J17</f>
        <v>100</v>
      </c>
      <c r="X17" s="1133"/>
      <c r="Y17" s="3440"/>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21"/>
      <c r="Q18" s="1145"/>
      <c r="R18" s="1146"/>
      <c r="S18" s="1147"/>
      <c r="T18" s="1146"/>
      <c r="U18" s="1147"/>
      <c r="V18" s="1146"/>
      <c r="W18" s="1147"/>
      <c r="X18" s="1133"/>
      <c r="Y18" s="3440"/>
      <c r="Z18" s="1148"/>
      <c r="AA18" s="1149">
        <v>1</v>
      </c>
      <c r="AB18" s="1149">
        <v>1</v>
      </c>
      <c r="AC18" s="1149">
        <v>1</v>
      </c>
    </row>
    <row r="19" spans="1:29" ht="54">
      <c r="A19" s="98"/>
      <c r="B19" s="892" t="s">
        <v>2553</v>
      </c>
      <c r="C19" s="162" t="str">
        <f>估价对象房地状况!C7</f>
        <v>估价对象所在区域公共配套设施成熟度一般</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21"/>
      <c r="Q19" s="1145" t="str">
        <f>B19</f>
        <v>公共配套设施</v>
      </c>
      <c r="R19" s="1146" t="s">
        <v>61</v>
      </c>
      <c r="S19" s="1147">
        <f>F19</f>
        <v>100</v>
      </c>
      <c r="T19" s="1146" t="s">
        <v>61</v>
      </c>
      <c r="U19" s="1147">
        <f>H19</f>
        <v>100</v>
      </c>
      <c r="V19" s="1146" t="s">
        <v>61</v>
      </c>
      <c r="W19" s="1147">
        <f>J19</f>
        <v>100</v>
      </c>
      <c r="X19" s="1133"/>
      <c r="Y19" s="3440"/>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21"/>
      <c r="Q20" s="1145"/>
      <c r="R20" s="1146"/>
      <c r="S20" s="1147"/>
      <c r="T20" s="1146"/>
      <c r="U20" s="1147"/>
      <c r="V20" s="1146"/>
      <c r="W20" s="1147"/>
      <c r="X20" s="1133"/>
      <c r="Y20" s="3440"/>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21"/>
      <c r="Q21" s="2550" t="str">
        <f>B21</f>
        <v>基础设施水平</v>
      </c>
      <c r="R21" s="1146" t="s">
        <v>61</v>
      </c>
      <c r="S21" s="1147">
        <f>F21</f>
        <v>100</v>
      </c>
      <c r="T21" s="1146" t="s">
        <v>61</v>
      </c>
      <c r="U21" s="1147">
        <f>H21</f>
        <v>100</v>
      </c>
      <c r="V21" s="1146" t="s">
        <v>61</v>
      </c>
      <c r="W21" s="1147">
        <f>J21</f>
        <v>100</v>
      </c>
      <c r="X21" s="2548"/>
      <c r="Y21" s="3440"/>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21"/>
      <c r="Q22" s="2550"/>
      <c r="R22" s="1146"/>
      <c r="S22" s="1147"/>
      <c r="T22" s="1146"/>
      <c r="U22" s="1147"/>
      <c r="V22" s="1146"/>
      <c r="W22" s="1147"/>
      <c r="X22" s="2548"/>
      <c r="Y22" s="3440"/>
      <c r="Z22" s="2549"/>
      <c r="AA22" s="1149">
        <v>1</v>
      </c>
      <c r="AB22" s="1149">
        <v>1</v>
      </c>
      <c r="AC22" s="1149">
        <v>1</v>
      </c>
    </row>
    <row r="23" spans="1:29" ht="121.5">
      <c r="A23" s="98"/>
      <c r="B23" s="892" t="s">
        <v>143</v>
      </c>
      <c r="C23" s="162" t="str">
        <f>估价对象房地状况!C9</f>
        <v>区域自然环境：燕郊滨河森林公园东区、燕郊植物园等；人文环境：燕京理工学院；综合评价环境状况较好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21"/>
      <c r="Q23" s="1145" t="str">
        <f>B23</f>
        <v>环境质量</v>
      </c>
      <c r="R23" s="1146" t="s">
        <v>61</v>
      </c>
      <c r="S23" s="1147">
        <f>F23</f>
        <v>100</v>
      </c>
      <c r="T23" s="1146" t="s">
        <v>61</v>
      </c>
      <c r="U23" s="1147">
        <f>H23</f>
        <v>100</v>
      </c>
      <c r="V23" s="1146" t="s">
        <v>61</v>
      </c>
      <c r="W23" s="1147">
        <f>J23</f>
        <v>100</v>
      </c>
      <c r="X23" s="1133"/>
      <c r="Y23" s="3440"/>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21"/>
      <c r="Q24" s="1145"/>
      <c r="R24" s="1146"/>
      <c r="S24" s="1147"/>
      <c r="T24" s="1146"/>
      <c r="U24" s="1147"/>
      <c r="V24" s="1146"/>
      <c r="W24" s="1147"/>
      <c r="X24" s="1133"/>
      <c r="Y24" s="3440"/>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21"/>
      <c r="Q25" s="1145" t="str">
        <f>B25</f>
        <v>毗邻道路的类型与等级</v>
      </c>
      <c r="R25" s="1146" t="s">
        <v>61</v>
      </c>
      <c r="S25" s="1147">
        <f>F25</f>
        <v>100</v>
      </c>
      <c r="T25" s="1146" t="s">
        <v>61</v>
      </c>
      <c r="U25" s="1147">
        <f>H25</f>
        <v>100</v>
      </c>
      <c r="V25" s="1146" t="s">
        <v>61</v>
      </c>
      <c r="W25" s="1147">
        <f>J25</f>
        <v>100</v>
      </c>
      <c r="X25" s="1133"/>
      <c r="Y25" s="3440"/>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21"/>
      <c r="Q26" s="1145"/>
      <c r="R26" s="1146"/>
      <c r="S26" s="1147"/>
      <c r="T26" s="1146"/>
      <c r="U26" s="1147"/>
      <c r="V26" s="1146"/>
      <c r="W26" s="1147"/>
      <c r="X26" s="1133"/>
      <c r="Y26" s="3440"/>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21"/>
      <c r="Q27" s="1145" t="str">
        <f t="shared" ref="Q27:Q47" si="11">B27</f>
        <v>楼层</v>
      </c>
      <c r="R27" s="1146" t="s">
        <v>61</v>
      </c>
      <c r="S27" s="1147">
        <f>F27</f>
        <v>100</v>
      </c>
      <c r="T27" s="1146" t="s">
        <v>61</v>
      </c>
      <c r="U27" s="1147">
        <f>H27</f>
        <v>100</v>
      </c>
      <c r="V27" s="1146" t="s">
        <v>61</v>
      </c>
      <c r="W27" s="1147">
        <f>J27</f>
        <v>100</v>
      </c>
      <c r="X27" s="1133"/>
      <c r="Y27" s="3440"/>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21"/>
      <c r="Q28" s="2" t="str">
        <f t="shared" si="11"/>
        <v>朝向</v>
      </c>
      <c r="R28" s="1135" t="s">
        <v>61</v>
      </c>
      <c r="S28" s="1136">
        <f>F28</f>
        <v>100</v>
      </c>
      <c r="T28" s="1135" t="s">
        <v>61</v>
      </c>
      <c r="U28" s="1136">
        <f>H28</f>
        <v>100</v>
      </c>
      <c r="V28" s="1135" t="s">
        <v>61</v>
      </c>
      <c r="W28" s="1136">
        <f>J28</f>
        <v>100</v>
      </c>
      <c r="X28" s="184"/>
      <c r="Y28" s="3440"/>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21"/>
      <c r="Q29" s="1145">
        <f t="shared" si="11"/>
        <v>111</v>
      </c>
      <c r="R29" s="1146" t="s">
        <v>61</v>
      </c>
      <c r="S29" s="1147">
        <f t="shared" ref="S29:S47" si="12">F29</f>
        <v>100</v>
      </c>
      <c r="T29" s="1146" t="s">
        <v>61</v>
      </c>
      <c r="U29" s="1147">
        <f t="shared" ref="U29:U47" si="13">H29</f>
        <v>100</v>
      </c>
      <c r="V29" s="1146" t="s">
        <v>61</v>
      </c>
      <c r="W29" s="1147">
        <f t="shared" ref="W29:W47" si="14">J29</f>
        <v>100</v>
      </c>
      <c r="X29" s="1133"/>
      <c r="Y29" s="3440"/>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21"/>
      <c r="Q30" s="1145">
        <f t="shared" si="11"/>
        <v>111</v>
      </c>
      <c r="R30" s="1146" t="s">
        <v>61</v>
      </c>
      <c r="S30" s="1147">
        <f t="shared" si="12"/>
        <v>100</v>
      </c>
      <c r="T30" s="1146" t="s">
        <v>61</v>
      </c>
      <c r="U30" s="1147">
        <f t="shared" si="13"/>
        <v>100</v>
      </c>
      <c r="V30" s="1146" t="s">
        <v>61</v>
      </c>
      <c r="W30" s="1147">
        <f t="shared" si="14"/>
        <v>100</v>
      </c>
      <c r="X30" s="1133"/>
      <c r="Y30" s="3440"/>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21"/>
      <c r="Q31" s="1145">
        <f t="shared" si="11"/>
        <v>111</v>
      </c>
      <c r="R31" s="1146" t="s">
        <v>61</v>
      </c>
      <c r="S31" s="1147">
        <f t="shared" si="12"/>
        <v>100</v>
      </c>
      <c r="T31" s="1146" t="s">
        <v>61</v>
      </c>
      <c r="U31" s="1147">
        <f t="shared" si="13"/>
        <v>100</v>
      </c>
      <c r="V31" s="1146" t="s">
        <v>61</v>
      </c>
      <c r="W31" s="1147">
        <f t="shared" si="14"/>
        <v>100</v>
      </c>
      <c r="X31" s="1133"/>
      <c r="Y31" s="3440"/>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21"/>
      <c r="Q32" s="1145">
        <f t="shared" si="11"/>
        <v>111</v>
      </c>
      <c r="R32" s="1146" t="s">
        <v>61</v>
      </c>
      <c r="S32" s="1147">
        <f t="shared" si="12"/>
        <v>100</v>
      </c>
      <c r="T32" s="1146" t="s">
        <v>61</v>
      </c>
      <c r="U32" s="1147">
        <f t="shared" si="13"/>
        <v>100</v>
      </c>
      <c r="V32" s="1146" t="s">
        <v>61</v>
      </c>
      <c r="W32" s="1147">
        <f t="shared" si="14"/>
        <v>100</v>
      </c>
      <c r="X32" s="1133"/>
      <c r="Y32" s="3440"/>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6" t="s">
        <v>1002</v>
      </c>
      <c r="Q33" s="1145" t="str">
        <f t="shared" si="11"/>
        <v>建筑类型</v>
      </c>
      <c r="R33" s="1146" t="s">
        <v>61</v>
      </c>
      <c r="S33" s="1147">
        <f t="shared" si="12"/>
        <v>100</v>
      </c>
      <c r="T33" s="1146" t="s">
        <v>61</v>
      </c>
      <c r="U33" s="1147">
        <f t="shared" si="13"/>
        <v>100</v>
      </c>
      <c r="V33" s="1146" t="s">
        <v>61</v>
      </c>
      <c r="W33" s="1147">
        <f t="shared" si="14"/>
        <v>100</v>
      </c>
      <c r="X33" s="1133"/>
      <c r="Y33" s="3444"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7"/>
      <c r="Q34" s="1153" t="str">
        <f t="shared" si="11"/>
        <v>项目建筑规模</v>
      </c>
      <c r="R34" s="1154" t="s">
        <v>61</v>
      </c>
      <c r="S34" s="1155" t="e">
        <f t="shared" si="12"/>
        <v>#N/A</v>
      </c>
      <c r="T34" s="1154" t="s">
        <v>61</v>
      </c>
      <c r="U34" s="1155" t="e">
        <f t="shared" si="13"/>
        <v>#N/A</v>
      </c>
      <c r="V34" s="1154" t="s">
        <v>61</v>
      </c>
      <c r="W34" s="1155" t="e">
        <f t="shared" si="14"/>
        <v>#N/A</v>
      </c>
      <c r="X34" s="1156"/>
      <c r="Y34" s="3444"/>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7"/>
      <c r="Q35" s="1145" t="str">
        <f t="shared" si="11"/>
        <v>建筑结构</v>
      </c>
      <c r="R35" s="1146" t="s">
        <v>61</v>
      </c>
      <c r="S35" s="1147">
        <f t="shared" si="12"/>
        <v>100</v>
      </c>
      <c r="T35" s="1146" t="s">
        <v>61</v>
      </c>
      <c r="U35" s="1147">
        <f t="shared" si="13"/>
        <v>100</v>
      </c>
      <c r="V35" s="1146" t="s">
        <v>61</v>
      </c>
      <c r="W35" s="1147">
        <f t="shared" si="14"/>
        <v>100</v>
      </c>
      <c r="X35" s="1133"/>
      <c r="Y35" s="3444"/>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7"/>
      <c r="Q36" s="1145" t="str">
        <f t="shared" si="11"/>
        <v>公共部分装修</v>
      </c>
      <c r="R36" s="1146" t="s">
        <v>61</v>
      </c>
      <c r="S36" s="1147">
        <f t="shared" si="12"/>
        <v>100</v>
      </c>
      <c r="T36" s="1146" t="s">
        <v>61</v>
      </c>
      <c r="U36" s="1147">
        <f t="shared" si="13"/>
        <v>100</v>
      </c>
      <c r="V36" s="1146" t="s">
        <v>61</v>
      </c>
      <c r="W36" s="1147">
        <f t="shared" si="14"/>
        <v>100</v>
      </c>
      <c r="X36" s="1133"/>
      <c r="Y36" s="3444"/>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7"/>
      <c r="Q37" s="1145" t="str">
        <f t="shared" si="11"/>
        <v>成新度</v>
      </c>
      <c r="R37" s="1146" t="s">
        <v>61</v>
      </c>
      <c r="S37" s="1147" t="e">
        <f t="shared" si="12"/>
        <v>#N/A</v>
      </c>
      <c r="T37" s="1146" t="s">
        <v>61</v>
      </c>
      <c r="U37" s="1147" t="e">
        <f t="shared" si="13"/>
        <v>#N/A</v>
      </c>
      <c r="V37" s="1146" t="s">
        <v>61</v>
      </c>
      <c r="W37" s="1147" t="e">
        <f t="shared" si="14"/>
        <v>#N/A</v>
      </c>
      <c r="X37" s="1133"/>
      <c r="Y37" s="3444"/>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7"/>
      <c r="Q38" s="2" t="str">
        <f t="shared" si="11"/>
        <v>写字楼等级</v>
      </c>
      <c r="R38" s="1135" t="s">
        <v>61</v>
      </c>
      <c r="S38" s="1136">
        <f t="shared" si="12"/>
        <v>100</v>
      </c>
      <c r="T38" s="1135" t="s">
        <v>61</v>
      </c>
      <c r="U38" s="1136">
        <f t="shared" si="13"/>
        <v>100</v>
      </c>
      <c r="V38" s="1135" t="s">
        <v>61</v>
      </c>
      <c r="W38" s="1136">
        <f t="shared" si="14"/>
        <v>100</v>
      </c>
      <c r="X38" s="184"/>
      <c r="Y38" s="3444"/>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7" t="s">
        <v>66</v>
      </c>
      <c r="Q39" s="1145" t="str">
        <f t="shared" si="11"/>
        <v>物业管理</v>
      </c>
      <c r="R39" s="1146" t="s">
        <v>61</v>
      </c>
      <c r="S39" s="1147">
        <f t="shared" si="12"/>
        <v>100</v>
      </c>
      <c r="T39" s="1146" t="s">
        <v>61</v>
      </c>
      <c r="U39" s="1147">
        <f t="shared" si="13"/>
        <v>100</v>
      </c>
      <c r="V39" s="1146" t="s">
        <v>61</v>
      </c>
      <c r="W39" s="1147">
        <f t="shared" si="14"/>
        <v>100</v>
      </c>
      <c r="X39" s="1133"/>
      <c r="Y39" s="3444"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7"/>
      <c r="Q40" s="1145" t="str">
        <f t="shared" si="11"/>
        <v>市政基础设施</v>
      </c>
      <c r="R40" s="1146" t="s">
        <v>61</v>
      </c>
      <c r="S40" s="1147">
        <f t="shared" si="12"/>
        <v>100</v>
      </c>
      <c r="T40" s="1146" t="s">
        <v>61</v>
      </c>
      <c r="U40" s="1147">
        <f t="shared" si="13"/>
        <v>100</v>
      </c>
      <c r="V40" s="1146" t="s">
        <v>61</v>
      </c>
      <c r="W40" s="1147">
        <f t="shared" si="14"/>
        <v>100</v>
      </c>
      <c r="X40" s="1133"/>
      <c r="Y40" s="3444"/>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7"/>
      <c r="Q41" s="1145" t="str">
        <f t="shared" si="11"/>
        <v>层高</v>
      </c>
      <c r="R41" s="1146" t="s">
        <v>61</v>
      </c>
      <c r="S41" s="1147">
        <f t="shared" si="12"/>
        <v>100</v>
      </c>
      <c r="T41" s="1146" t="s">
        <v>61</v>
      </c>
      <c r="U41" s="1147">
        <f t="shared" si="13"/>
        <v>100</v>
      </c>
      <c r="V41" s="1146" t="s">
        <v>61</v>
      </c>
      <c r="W41" s="1147">
        <f t="shared" si="14"/>
        <v>100</v>
      </c>
      <c r="X41" s="1133"/>
      <c r="Y41" s="3444"/>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7"/>
      <c r="Q42" s="1153" t="str">
        <f t="shared" si="11"/>
        <v>单套建筑面积</v>
      </c>
      <c r="R42" s="1154" t="s">
        <v>61</v>
      </c>
      <c r="S42" s="1155">
        <f t="shared" si="12"/>
        <v>100</v>
      </c>
      <c r="T42" s="1154" t="s">
        <v>61</v>
      </c>
      <c r="U42" s="1155">
        <f t="shared" si="13"/>
        <v>100</v>
      </c>
      <c r="V42" s="1154" t="s">
        <v>61</v>
      </c>
      <c r="W42" s="1155">
        <f t="shared" si="14"/>
        <v>100</v>
      </c>
      <c r="X42" s="1156"/>
      <c r="Y42" s="3444"/>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7"/>
      <c r="Q43" s="1145" t="str">
        <f t="shared" si="11"/>
        <v>内部装修</v>
      </c>
      <c r="R43" s="1146" t="s">
        <v>61</v>
      </c>
      <c r="S43" s="1147">
        <f t="shared" si="12"/>
        <v>100</v>
      </c>
      <c r="T43" s="1146" t="s">
        <v>61</v>
      </c>
      <c r="U43" s="1147">
        <f t="shared" si="13"/>
        <v>100</v>
      </c>
      <c r="V43" s="1146" t="s">
        <v>61</v>
      </c>
      <c r="W43" s="1147">
        <f t="shared" si="14"/>
        <v>100</v>
      </c>
      <c r="X43" s="1133"/>
      <c r="Y43" s="3444"/>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7"/>
      <c r="Q44" s="1145" t="str">
        <f t="shared" si="11"/>
        <v>内部装修维护情况</v>
      </c>
      <c r="R44" s="1146" t="s">
        <v>61</v>
      </c>
      <c r="S44" s="1147">
        <f t="shared" si="12"/>
        <v>100</v>
      </c>
      <c r="T44" s="1146" t="s">
        <v>61</v>
      </c>
      <c r="U44" s="1147">
        <f t="shared" si="13"/>
        <v>100</v>
      </c>
      <c r="V44" s="1146" t="s">
        <v>61</v>
      </c>
      <c r="W44" s="1147">
        <f t="shared" si="14"/>
        <v>100</v>
      </c>
      <c r="X44" s="1133"/>
      <c r="Y44" s="3444"/>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7"/>
      <c r="Q45" s="2">
        <f t="shared" si="11"/>
        <v>111</v>
      </c>
      <c r="R45" s="1135" t="s">
        <v>61</v>
      </c>
      <c r="S45" s="1136">
        <f t="shared" si="12"/>
        <v>100</v>
      </c>
      <c r="T45" s="1135" t="s">
        <v>61</v>
      </c>
      <c r="U45" s="1136">
        <f t="shared" si="13"/>
        <v>100</v>
      </c>
      <c r="V45" s="1135" t="s">
        <v>61</v>
      </c>
      <c r="W45" s="1136">
        <f t="shared" si="14"/>
        <v>100</v>
      </c>
      <c r="X45" s="184"/>
      <c r="Y45" s="3444"/>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7"/>
      <c r="Q46" s="1145">
        <f t="shared" si="11"/>
        <v>111</v>
      </c>
      <c r="R46" s="1146" t="s">
        <v>61</v>
      </c>
      <c r="S46" s="1147">
        <f t="shared" si="12"/>
        <v>100</v>
      </c>
      <c r="T46" s="1146" t="s">
        <v>61</v>
      </c>
      <c r="U46" s="1147">
        <f t="shared" si="13"/>
        <v>100</v>
      </c>
      <c r="V46" s="1146" t="s">
        <v>61</v>
      </c>
      <c r="W46" s="1147">
        <f t="shared" si="14"/>
        <v>100</v>
      </c>
      <c r="X46" s="1133"/>
      <c r="Y46" s="3444"/>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8"/>
      <c r="Q47" s="1145">
        <f t="shared" si="11"/>
        <v>111</v>
      </c>
      <c r="R47" s="1146" t="s">
        <v>61</v>
      </c>
      <c r="S47" s="1147">
        <f t="shared" si="12"/>
        <v>100</v>
      </c>
      <c r="T47" s="1146" t="s">
        <v>61</v>
      </c>
      <c r="U47" s="1147">
        <f t="shared" si="13"/>
        <v>100</v>
      </c>
      <c r="V47" s="1146" t="s">
        <v>61</v>
      </c>
      <c r="W47" s="1147">
        <f t="shared" si="14"/>
        <v>100</v>
      </c>
      <c r="X47" s="1133"/>
      <c r="Y47" s="3445"/>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57" t="str">
        <f>A48</f>
        <v>成交单价（元/平方米）</v>
      </c>
      <c r="Q48" s="3450"/>
      <c r="R48" s="3451">
        <f>E48</f>
        <v>0</v>
      </c>
      <c r="S48" s="3451"/>
      <c r="T48" s="3451">
        <f>G48</f>
        <v>0</v>
      </c>
      <c r="U48" s="3451"/>
      <c r="V48" s="3451">
        <f>I48</f>
        <v>0</v>
      </c>
      <c r="W48" s="3451"/>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57" t="str">
        <f>A49</f>
        <v>比较价值（元/平方米）</v>
      </c>
      <c r="Q49" s="3450"/>
      <c r="R49" s="3451" t="e">
        <f>IF(E1="售价",ROUND(PRODUCT(R48,AA7:AA47),0),ROUND(PRODUCT(R48,AA7:AA47),1))</f>
        <v>#DIV/0!</v>
      </c>
      <c r="S49" s="3451"/>
      <c r="T49" s="3451" t="e">
        <f>IF(E1="售价",ROUND(PRODUCT(T48,AB7:AB47),0),ROUND(PRODUCT(T48,AB7:AB47),1))</f>
        <v>#DIV/0!</v>
      </c>
      <c r="U49" s="3451"/>
      <c r="V49" s="3451" t="e">
        <f>IF(E1="售价",ROUND(PRODUCT(V48,AC7:AC47),0),ROUND(PRODUCT(V48,AC7:AC47),1))</f>
        <v>#DIV/0!</v>
      </c>
      <c r="W49" s="3451"/>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9" t="str">
        <f>A50</f>
        <v>估价对象XX用房的比较价值（楼面单价，元/平方米）</v>
      </c>
      <c r="Q50" s="3457"/>
      <c r="R50" s="3458" t="e">
        <f>IF(E1="售价",ROUND(AVERAGE(R49:V49),0),ROUND(AVERAGE(R49:V49),1))</f>
        <v>#DIV/0!</v>
      </c>
      <c r="S50" s="3458"/>
      <c r="T50" s="3458"/>
      <c r="U50" s="3458"/>
      <c r="V50" s="3458"/>
      <c r="W50" s="3458"/>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2017-8</v>
      </c>
      <c r="D59" s="2806">
        <f>EDATE(C59,-1)</f>
        <v>42917</v>
      </c>
      <c r="E59" s="2806">
        <f t="shared" ref="E59:O59" si="16">EDATE(D59,-1)</f>
        <v>42887</v>
      </c>
      <c r="F59" s="2806">
        <f t="shared" si="16"/>
        <v>42856</v>
      </c>
      <c r="G59" s="2806">
        <f t="shared" si="16"/>
        <v>42826</v>
      </c>
      <c r="H59" s="2806">
        <f t="shared" si="16"/>
        <v>42795</v>
      </c>
      <c r="I59" s="2806">
        <f t="shared" si="16"/>
        <v>42767</v>
      </c>
      <c r="J59" s="2806">
        <f t="shared" si="16"/>
        <v>42736</v>
      </c>
      <c r="K59" s="2806">
        <f t="shared" si="16"/>
        <v>42705</v>
      </c>
      <c r="L59" s="2806">
        <f t="shared" si="16"/>
        <v>42675</v>
      </c>
      <c r="M59" s="2806">
        <f t="shared" si="16"/>
        <v>42644</v>
      </c>
      <c r="N59" s="2806">
        <f t="shared" si="16"/>
        <v>42614</v>
      </c>
      <c r="O59" s="2806">
        <f t="shared" si="16"/>
        <v>42583</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80.09</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14" t="s">
        <v>1020</v>
      </c>
      <c r="D4" s="3415"/>
      <c r="E4" s="3416" t="s">
        <v>1021</v>
      </c>
      <c r="F4" s="3417"/>
      <c r="G4" s="3414" t="s">
        <v>1022</v>
      </c>
      <c r="H4" s="3415"/>
      <c r="I4" s="3414" t="s">
        <v>1023</v>
      </c>
      <c r="J4" s="3415"/>
      <c r="K4" s="139" t="s">
        <v>1024</v>
      </c>
      <c r="L4" s="2164"/>
      <c r="M4" s="2165"/>
      <c r="N4" s="2165"/>
      <c r="O4" s="2165"/>
      <c r="P4" s="3418" t="s">
        <v>1019</v>
      </c>
      <c r="Q4" s="3419"/>
      <c r="R4" s="3424" t="s">
        <v>1021</v>
      </c>
      <c r="S4" s="3425"/>
      <c r="T4" s="3424" t="s">
        <v>1022</v>
      </c>
      <c r="U4" s="3425"/>
      <c r="V4" s="3430" t="s">
        <v>1023</v>
      </c>
      <c r="W4" s="3430"/>
      <c r="X4" s="1133"/>
      <c r="Y4" s="3424" t="s">
        <v>1019</v>
      </c>
      <c r="Z4" s="3425"/>
      <c r="AA4" s="3411" t="s">
        <v>1021</v>
      </c>
      <c r="AB4" s="3412" t="s">
        <v>1022</v>
      </c>
      <c r="AC4" s="3411" t="s">
        <v>1023</v>
      </c>
    </row>
    <row r="5" spans="1:29">
      <c r="A5" s="93"/>
      <c r="B5" s="94"/>
      <c r="C5" s="3459" t="s">
        <v>1025</v>
      </c>
      <c r="D5" s="3460"/>
      <c r="E5" s="3461" t="s">
        <v>1026</v>
      </c>
      <c r="F5" s="3462"/>
      <c r="G5" s="3459" t="s">
        <v>1027</v>
      </c>
      <c r="H5" s="3460"/>
      <c r="I5" s="3459" t="s">
        <v>1028</v>
      </c>
      <c r="J5" s="3460"/>
      <c r="K5" s="139"/>
      <c r="L5" s="2164"/>
      <c r="M5" s="2165"/>
      <c r="N5" s="2165"/>
      <c r="O5" s="2165"/>
      <c r="P5" s="3420"/>
      <c r="Q5" s="3421"/>
      <c r="R5" s="3426"/>
      <c r="S5" s="3427"/>
      <c r="T5" s="3426"/>
      <c r="U5" s="3427"/>
      <c r="V5" s="3430"/>
      <c r="W5" s="3430"/>
      <c r="X5" s="1133"/>
      <c r="Y5" s="3426"/>
      <c r="Z5" s="3427"/>
      <c r="AA5" s="3412"/>
      <c r="AB5" s="3412"/>
      <c r="AC5" s="3412"/>
    </row>
    <row r="6" spans="1:29" ht="14.25" thickBot="1">
      <c r="A6" s="95"/>
      <c r="B6" s="96"/>
      <c r="C6" s="3435" t="s">
        <v>1029</v>
      </c>
      <c r="D6" s="3436"/>
      <c r="E6" s="3437" t="s">
        <v>1029</v>
      </c>
      <c r="F6" s="3438"/>
      <c r="G6" s="3435" t="s">
        <v>1029</v>
      </c>
      <c r="H6" s="3436"/>
      <c r="I6" s="3435" t="s">
        <v>1029</v>
      </c>
      <c r="J6" s="3436"/>
      <c r="K6" s="139" t="s">
        <v>1030</v>
      </c>
      <c r="L6" s="2164"/>
      <c r="M6" s="2165"/>
      <c r="N6" s="2165"/>
      <c r="O6" s="2165"/>
      <c r="P6" s="3422"/>
      <c r="Q6" s="3423"/>
      <c r="R6" s="3426"/>
      <c r="S6" s="3427"/>
      <c r="T6" s="3428"/>
      <c r="U6" s="3429"/>
      <c r="V6" s="3430"/>
      <c r="W6" s="3430"/>
      <c r="X6" s="1133"/>
      <c r="Y6" s="3428"/>
      <c r="Z6" s="3429"/>
      <c r="AA6" s="3413"/>
      <c r="AB6" s="3413"/>
      <c r="AC6" s="3413"/>
    </row>
    <row r="7" spans="1:29" s="11" customFormat="1" ht="15" thickBot="1">
      <c r="A7" s="872" t="s">
        <v>1031</v>
      </c>
      <c r="B7" s="873"/>
      <c r="C7" s="607">
        <f>'数据-取费表'!B2</f>
        <v>42969</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46" t="s">
        <v>1031</v>
      </c>
      <c r="Q7" s="3448"/>
      <c r="R7" s="1135" t="s">
        <v>61</v>
      </c>
      <c r="S7" s="1136">
        <f t="shared" ref="S7:S15" si="0">F7</f>
        <v>0</v>
      </c>
      <c r="T7" s="1135" t="s">
        <v>61</v>
      </c>
      <c r="U7" s="1136">
        <f t="shared" ref="U7:U15" si="1">H7</f>
        <v>0</v>
      </c>
      <c r="V7" s="1135" t="s">
        <v>61</v>
      </c>
      <c r="W7" s="1136">
        <f t="shared" ref="W7:W15" si="2">J7</f>
        <v>0</v>
      </c>
      <c r="X7" s="184"/>
      <c r="Y7" s="3446" t="s">
        <v>1031</v>
      </c>
      <c r="Z7" s="3447"/>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46" t="s">
        <v>929</v>
      </c>
      <c r="Q8" s="3447"/>
      <c r="R8" s="1135" t="s">
        <v>61</v>
      </c>
      <c r="S8" s="1136">
        <f t="shared" si="0"/>
        <v>100</v>
      </c>
      <c r="T8" s="1135" t="s">
        <v>61</v>
      </c>
      <c r="U8" s="1136">
        <f t="shared" si="1"/>
        <v>100</v>
      </c>
      <c r="V8" s="1135" t="s">
        <v>61</v>
      </c>
      <c r="W8" s="1136">
        <f t="shared" si="2"/>
        <v>100</v>
      </c>
      <c r="X8" s="184"/>
      <c r="Y8" s="3446" t="s">
        <v>929</v>
      </c>
      <c r="Z8" s="3447"/>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50" t="s">
        <v>63</v>
      </c>
      <c r="Q9" s="2" t="str">
        <f t="shared" ref="Q9:Q15" si="6">B9</f>
        <v>用途</v>
      </c>
      <c r="R9" s="1135" t="s">
        <v>61</v>
      </c>
      <c r="S9" s="1136">
        <f t="shared" si="0"/>
        <v>100</v>
      </c>
      <c r="T9" s="1135" t="s">
        <v>61</v>
      </c>
      <c r="U9" s="1136">
        <f t="shared" si="1"/>
        <v>100</v>
      </c>
      <c r="V9" s="1135" t="s">
        <v>61</v>
      </c>
      <c r="W9" s="1136">
        <f t="shared" si="2"/>
        <v>100</v>
      </c>
      <c r="X9" s="184"/>
      <c r="Y9" s="325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50"/>
      <c r="Q10" s="2" t="str">
        <f t="shared" si="6"/>
        <v>土地使用年限（年）</v>
      </c>
      <c r="R10" s="1135" t="s">
        <v>61</v>
      </c>
      <c r="S10" s="1136">
        <f t="shared" si="0"/>
        <v>100</v>
      </c>
      <c r="T10" s="1135" t="s">
        <v>61</v>
      </c>
      <c r="U10" s="1136">
        <f t="shared" si="1"/>
        <v>100</v>
      </c>
      <c r="V10" s="1135" t="s">
        <v>61</v>
      </c>
      <c r="W10" s="1136">
        <f t="shared" si="2"/>
        <v>100</v>
      </c>
      <c r="X10" s="184"/>
      <c r="Y10" s="3250"/>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50"/>
      <c r="Q11" s="2" t="str">
        <f t="shared" si="6"/>
        <v>容积率</v>
      </c>
      <c r="R11" s="1135" t="s">
        <v>61</v>
      </c>
      <c r="S11" s="1136" t="e">
        <f t="shared" si="0"/>
        <v>#N/A</v>
      </c>
      <c r="T11" s="1135" t="s">
        <v>61</v>
      </c>
      <c r="U11" s="1136" t="e">
        <f t="shared" si="1"/>
        <v>#N/A</v>
      </c>
      <c r="V11" s="1135" t="s">
        <v>61</v>
      </c>
      <c r="W11" s="1136" t="e">
        <f t="shared" si="2"/>
        <v>#N/A</v>
      </c>
      <c r="X11" s="184"/>
      <c r="Y11" s="3250"/>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50"/>
      <c r="Q12" s="2">
        <f t="shared" si="6"/>
        <v>111</v>
      </c>
      <c r="R12" s="1135" t="s">
        <v>61</v>
      </c>
      <c r="S12" s="1136">
        <f t="shared" si="0"/>
        <v>100</v>
      </c>
      <c r="T12" s="1135" t="s">
        <v>61</v>
      </c>
      <c r="U12" s="1136">
        <f t="shared" si="1"/>
        <v>100</v>
      </c>
      <c r="V12" s="1135" t="s">
        <v>61</v>
      </c>
      <c r="W12" s="1136">
        <f t="shared" si="2"/>
        <v>100</v>
      </c>
      <c r="X12" s="184"/>
      <c r="Y12" s="3250"/>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50"/>
      <c r="Q13" s="2">
        <f t="shared" si="6"/>
        <v>111</v>
      </c>
      <c r="R13" s="1135" t="s">
        <v>61</v>
      </c>
      <c r="S13" s="1136">
        <f t="shared" si="0"/>
        <v>100</v>
      </c>
      <c r="T13" s="1135" t="s">
        <v>61</v>
      </c>
      <c r="U13" s="1136">
        <f t="shared" si="1"/>
        <v>100</v>
      </c>
      <c r="V13" s="1135" t="s">
        <v>61</v>
      </c>
      <c r="W13" s="1136">
        <f t="shared" si="2"/>
        <v>100</v>
      </c>
      <c r="X13" s="184"/>
      <c r="Y13" s="3250"/>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50"/>
      <c r="Q14" s="2">
        <f t="shared" si="6"/>
        <v>111</v>
      </c>
      <c r="R14" s="1135" t="s">
        <v>61</v>
      </c>
      <c r="S14" s="1136">
        <f t="shared" si="0"/>
        <v>100</v>
      </c>
      <c r="T14" s="1135" t="s">
        <v>61</v>
      </c>
      <c r="U14" s="1136">
        <f t="shared" si="1"/>
        <v>100</v>
      </c>
      <c r="V14" s="1135" t="s">
        <v>61</v>
      </c>
      <c r="W14" s="1136">
        <f t="shared" si="2"/>
        <v>100</v>
      </c>
      <c r="X14" s="184"/>
      <c r="Y14" s="3250"/>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39" t="s">
        <v>65</v>
      </c>
      <c r="Q15" s="1145" t="str">
        <f t="shared" si="6"/>
        <v>产业集聚程度</v>
      </c>
      <c r="R15" s="1146" t="s">
        <v>61</v>
      </c>
      <c r="S15" s="1147">
        <f t="shared" si="0"/>
        <v>100</v>
      </c>
      <c r="T15" s="1146" t="s">
        <v>61</v>
      </c>
      <c r="U15" s="1147">
        <f t="shared" si="1"/>
        <v>100</v>
      </c>
      <c r="V15" s="1146" t="s">
        <v>61</v>
      </c>
      <c r="W15" s="1147">
        <f t="shared" si="2"/>
        <v>100</v>
      </c>
      <c r="X15" s="1133"/>
      <c r="Y15" s="3439"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40"/>
      <c r="Q16" s="1145"/>
      <c r="R16" s="1146"/>
      <c r="S16" s="1147"/>
      <c r="T16" s="1146"/>
      <c r="U16" s="1147"/>
      <c r="V16" s="1146"/>
      <c r="W16" s="1147"/>
      <c r="X16" s="1133"/>
      <c r="Y16" s="3440"/>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40"/>
      <c r="Q17" s="1145" t="str">
        <f>B17</f>
        <v>交通便捷度</v>
      </c>
      <c r="R17" s="1146" t="s">
        <v>61</v>
      </c>
      <c r="S17" s="1147">
        <f>F17</f>
        <v>100</v>
      </c>
      <c r="T17" s="1146" t="s">
        <v>61</v>
      </c>
      <c r="U17" s="1147">
        <f>H17</f>
        <v>100</v>
      </c>
      <c r="V17" s="1146" t="s">
        <v>61</v>
      </c>
      <c r="W17" s="1147">
        <f>J17</f>
        <v>100</v>
      </c>
      <c r="X17" s="1133"/>
      <c r="Y17" s="3440"/>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40"/>
      <c r="Q18" s="1145"/>
      <c r="R18" s="1146"/>
      <c r="S18" s="1147"/>
      <c r="T18" s="1146"/>
      <c r="U18" s="1147"/>
      <c r="V18" s="1146"/>
      <c r="W18" s="1147"/>
      <c r="X18" s="1133"/>
      <c r="Y18" s="3440"/>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40"/>
      <c r="Q19" s="1145" t="str">
        <f>B19</f>
        <v>公共配套设施</v>
      </c>
      <c r="R19" s="1146" t="s">
        <v>61</v>
      </c>
      <c r="S19" s="1147">
        <f>F19</f>
        <v>100</v>
      </c>
      <c r="T19" s="1146" t="s">
        <v>61</v>
      </c>
      <c r="U19" s="1147">
        <f>H19</f>
        <v>100</v>
      </c>
      <c r="V19" s="1146" t="s">
        <v>61</v>
      </c>
      <c r="W19" s="1147">
        <f>J19</f>
        <v>100</v>
      </c>
      <c r="X19" s="1133"/>
      <c r="Y19" s="3440"/>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40"/>
      <c r="Q20" s="1145"/>
      <c r="R20" s="1146"/>
      <c r="S20" s="1147"/>
      <c r="T20" s="1146"/>
      <c r="U20" s="1147"/>
      <c r="V20" s="1146"/>
      <c r="W20" s="1147"/>
      <c r="X20" s="1133"/>
      <c r="Y20" s="3440"/>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40"/>
      <c r="Q21" s="2550" t="str">
        <f>B21</f>
        <v>基础设施水平</v>
      </c>
      <c r="R21" s="1146" t="s">
        <v>61</v>
      </c>
      <c r="S21" s="1147">
        <f>F21</f>
        <v>100</v>
      </c>
      <c r="T21" s="1146" t="s">
        <v>61</v>
      </c>
      <c r="U21" s="1147">
        <f>H21</f>
        <v>100</v>
      </c>
      <c r="V21" s="1146" t="s">
        <v>61</v>
      </c>
      <c r="W21" s="1147">
        <f>J21</f>
        <v>100</v>
      </c>
      <c r="X21" s="2548"/>
      <c r="Y21" s="3440"/>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40"/>
      <c r="Q22" s="2550"/>
      <c r="R22" s="1146"/>
      <c r="S22" s="1147"/>
      <c r="T22" s="1146"/>
      <c r="U22" s="1147"/>
      <c r="V22" s="1146"/>
      <c r="W22" s="1147"/>
      <c r="X22" s="2548"/>
      <c r="Y22" s="3440"/>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40"/>
      <c r="Q23" s="1145" t="str">
        <f>B23</f>
        <v>环境质量</v>
      </c>
      <c r="R23" s="1146" t="s">
        <v>61</v>
      </c>
      <c r="S23" s="1147">
        <f>F23</f>
        <v>100</v>
      </c>
      <c r="T23" s="1146" t="s">
        <v>61</v>
      </c>
      <c r="U23" s="1147">
        <f>H23</f>
        <v>100</v>
      </c>
      <c r="V23" s="1146" t="s">
        <v>61</v>
      </c>
      <c r="W23" s="1147">
        <f>J23</f>
        <v>100</v>
      </c>
      <c r="X23" s="1133"/>
      <c r="Y23" s="3440"/>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40"/>
      <c r="Q24" s="1145"/>
      <c r="R24" s="1146"/>
      <c r="S24" s="1147"/>
      <c r="T24" s="1146"/>
      <c r="U24" s="1147"/>
      <c r="V24" s="1146"/>
      <c r="W24" s="1147"/>
      <c r="X24" s="1133"/>
      <c r="Y24" s="3440"/>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40"/>
      <c r="Q25" s="1145">
        <f>B25</f>
        <v>111</v>
      </c>
      <c r="R25" s="1146" t="s">
        <v>61</v>
      </c>
      <c r="S25" s="1147">
        <f>F25</f>
        <v>100</v>
      </c>
      <c r="T25" s="1146" t="s">
        <v>61</v>
      </c>
      <c r="U25" s="1147">
        <f>H25</f>
        <v>100</v>
      </c>
      <c r="V25" s="1146" t="s">
        <v>61</v>
      </c>
      <c r="W25" s="1147">
        <f>J25</f>
        <v>100</v>
      </c>
      <c r="X25" s="1133"/>
      <c r="Y25" s="3440"/>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40"/>
      <c r="Q26" s="1145">
        <f t="shared" ref="Q26:Q40" si="11">B26</f>
        <v>111</v>
      </c>
      <c r="R26" s="1146" t="s">
        <v>61</v>
      </c>
      <c r="S26" s="1147">
        <f>F26</f>
        <v>100</v>
      </c>
      <c r="T26" s="1146" t="s">
        <v>61</v>
      </c>
      <c r="U26" s="1147">
        <f>H26</f>
        <v>100</v>
      </c>
      <c r="V26" s="1146" t="s">
        <v>61</v>
      </c>
      <c r="W26" s="1147">
        <f>J26</f>
        <v>100</v>
      </c>
      <c r="X26" s="1133"/>
      <c r="Y26" s="3440"/>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40"/>
      <c r="Q27" s="2">
        <f t="shared" si="11"/>
        <v>111</v>
      </c>
      <c r="R27" s="1135" t="s">
        <v>61</v>
      </c>
      <c r="S27" s="1136">
        <f>F27</f>
        <v>100</v>
      </c>
      <c r="T27" s="1135" t="s">
        <v>61</v>
      </c>
      <c r="U27" s="1136">
        <f>H27</f>
        <v>100</v>
      </c>
      <c r="V27" s="1135" t="s">
        <v>61</v>
      </c>
      <c r="W27" s="1136">
        <f>J27</f>
        <v>100</v>
      </c>
      <c r="X27" s="184"/>
      <c r="Y27" s="3440"/>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40"/>
      <c r="Q28" s="1145">
        <f t="shared" si="11"/>
        <v>111</v>
      </c>
      <c r="R28" s="1146" t="s">
        <v>61</v>
      </c>
      <c r="S28" s="1147">
        <f t="shared" ref="S28:S40" si="12">F28</f>
        <v>100</v>
      </c>
      <c r="T28" s="1146" t="s">
        <v>61</v>
      </c>
      <c r="U28" s="1147">
        <f t="shared" ref="U28:U40" si="13">H28</f>
        <v>100</v>
      </c>
      <c r="V28" s="1146" t="s">
        <v>61</v>
      </c>
      <c r="W28" s="1147">
        <f t="shared" ref="W28:W40" si="14">J28</f>
        <v>100</v>
      </c>
      <c r="X28" s="1133"/>
      <c r="Y28" s="3440"/>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70" t="s">
        <v>1033</v>
      </c>
      <c r="Q29" s="1145" t="str">
        <f t="shared" si="11"/>
        <v>建筑类型</v>
      </c>
      <c r="R29" s="1146" t="s">
        <v>61</v>
      </c>
      <c r="S29" s="1147">
        <f t="shared" si="12"/>
        <v>100</v>
      </c>
      <c r="T29" s="1146" t="s">
        <v>61</v>
      </c>
      <c r="U29" s="1147">
        <f t="shared" si="13"/>
        <v>100</v>
      </c>
      <c r="V29" s="1146" t="s">
        <v>61</v>
      </c>
      <c r="W29" s="1147">
        <f t="shared" si="14"/>
        <v>100</v>
      </c>
      <c r="X29" s="1133"/>
      <c r="Y29" s="3444"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44"/>
      <c r="Q30" s="1153" t="str">
        <f t="shared" si="11"/>
        <v>项目建筑规模</v>
      </c>
      <c r="R30" s="1154" t="s">
        <v>61</v>
      </c>
      <c r="S30" s="1155" t="e">
        <f t="shared" si="12"/>
        <v>#N/A</v>
      </c>
      <c r="T30" s="1154" t="s">
        <v>61</v>
      </c>
      <c r="U30" s="1155" t="e">
        <f t="shared" si="13"/>
        <v>#N/A</v>
      </c>
      <c r="V30" s="1154" t="s">
        <v>61</v>
      </c>
      <c r="W30" s="1155" t="e">
        <f t="shared" si="14"/>
        <v>#N/A</v>
      </c>
      <c r="X30" s="1156"/>
      <c r="Y30" s="3444"/>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44"/>
      <c r="Q31" s="1145" t="str">
        <f t="shared" si="11"/>
        <v>建筑结构</v>
      </c>
      <c r="R31" s="1146" t="s">
        <v>61</v>
      </c>
      <c r="S31" s="1147">
        <f t="shared" si="12"/>
        <v>100</v>
      </c>
      <c r="T31" s="1146" t="s">
        <v>61</v>
      </c>
      <c r="U31" s="1147">
        <f t="shared" si="13"/>
        <v>100</v>
      </c>
      <c r="V31" s="1146" t="s">
        <v>61</v>
      </c>
      <c r="W31" s="1147">
        <f t="shared" si="14"/>
        <v>100</v>
      </c>
      <c r="X31" s="1133"/>
      <c r="Y31" s="3444"/>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44"/>
      <c r="Q32" s="1145" t="str">
        <f t="shared" si="11"/>
        <v>公共部分装修</v>
      </c>
      <c r="R32" s="1146" t="s">
        <v>61</v>
      </c>
      <c r="S32" s="1147">
        <f t="shared" si="12"/>
        <v>100</v>
      </c>
      <c r="T32" s="1146" t="s">
        <v>61</v>
      </c>
      <c r="U32" s="1147">
        <f t="shared" si="13"/>
        <v>100</v>
      </c>
      <c r="V32" s="1146" t="s">
        <v>61</v>
      </c>
      <c r="W32" s="1147">
        <f t="shared" si="14"/>
        <v>100</v>
      </c>
      <c r="X32" s="1133"/>
      <c r="Y32" s="3444"/>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44"/>
      <c r="Q33" s="1145" t="str">
        <f t="shared" si="11"/>
        <v>成新度</v>
      </c>
      <c r="R33" s="1146" t="s">
        <v>61</v>
      </c>
      <c r="S33" s="1147" t="e">
        <f t="shared" si="12"/>
        <v>#N/A</v>
      </c>
      <c r="T33" s="1146" t="s">
        <v>61</v>
      </c>
      <c r="U33" s="1147" t="e">
        <f t="shared" si="13"/>
        <v>#N/A</v>
      </c>
      <c r="V33" s="1146" t="s">
        <v>61</v>
      </c>
      <c r="W33" s="1147" t="e">
        <f t="shared" si="14"/>
        <v>#N/A</v>
      </c>
      <c r="X33" s="1133"/>
      <c r="Y33" s="3444"/>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44"/>
      <c r="Q34" s="2" t="str">
        <f t="shared" si="11"/>
        <v>物业管理</v>
      </c>
      <c r="R34" s="1135" t="s">
        <v>61</v>
      </c>
      <c r="S34" s="1136">
        <f t="shared" si="12"/>
        <v>100</v>
      </c>
      <c r="T34" s="1135" t="s">
        <v>61</v>
      </c>
      <c r="U34" s="1136">
        <f t="shared" si="13"/>
        <v>100</v>
      </c>
      <c r="V34" s="1135" t="s">
        <v>61</v>
      </c>
      <c r="W34" s="1136">
        <f t="shared" si="14"/>
        <v>100</v>
      </c>
      <c r="X34" s="184"/>
      <c r="Y34" s="3444"/>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44" t="s">
        <v>66</v>
      </c>
      <c r="Q35" s="1145" t="str">
        <f t="shared" si="11"/>
        <v>市政基础设施</v>
      </c>
      <c r="R35" s="1146" t="s">
        <v>61</v>
      </c>
      <c r="S35" s="1147">
        <f t="shared" si="12"/>
        <v>100</v>
      </c>
      <c r="T35" s="1146" t="s">
        <v>61</v>
      </c>
      <c r="U35" s="1147">
        <f t="shared" si="13"/>
        <v>100</v>
      </c>
      <c r="V35" s="1146" t="s">
        <v>61</v>
      </c>
      <c r="W35" s="1147">
        <f t="shared" si="14"/>
        <v>100</v>
      </c>
      <c r="X35" s="1133"/>
      <c r="Y35" s="3444"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44"/>
      <c r="Q36" s="1145" t="str">
        <f t="shared" si="11"/>
        <v>内部装修</v>
      </c>
      <c r="R36" s="1146" t="s">
        <v>61</v>
      </c>
      <c r="S36" s="1147">
        <f t="shared" si="12"/>
        <v>100</v>
      </c>
      <c r="T36" s="1146" t="s">
        <v>61</v>
      </c>
      <c r="U36" s="1147">
        <f t="shared" si="13"/>
        <v>100</v>
      </c>
      <c r="V36" s="1146" t="s">
        <v>61</v>
      </c>
      <c r="W36" s="1147">
        <f t="shared" si="14"/>
        <v>100</v>
      </c>
      <c r="X36" s="1133"/>
      <c r="Y36" s="3444"/>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44"/>
      <c r="Q37" s="1145" t="str">
        <f t="shared" si="11"/>
        <v>内部装修状况</v>
      </c>
      <c r="R37" s="1146" t="s">
        <v>61</v>
      </c>
      <c r="S37" s="1147">
        <f t="shared" si="12"/>
        <v>0</v>
      </c>
      <c r="T37" s="1146" t="s">
        <v>61</v>
      </c>
      <c r="U37" s="1147">
        <f t="shared" si="13"/>
        <v>0</v>
      </c>
      <c r="V37" s="1146" t="s">
        <v>61</v>
      </c>
      <c r="W37" s="1147">
        <f t="shared" si="14"/>
        <v>0</v>
      </c>
      <c r="X37" s="1133"/>
      <c r="Y37" s="3444"/>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44"/>
      <c r="Q38" s="1153">
        <f t="shared" si="11"/>
        <v>111</v>
      </c>
      <c r="R38" s="1154" t="s">
        <v>61</v>
      </c>
      <c r="S38" s="1155">
        <f t="shared" si="12"/>
        <v>100</v>
      </c>
      <c r="T38" s="1154" t="s">
        <v>61</v>
      </c>
      <c r="U38" s="1155">
        <f t="shared" si="13"/>
        <v>100</v>
      </c>
      <c r="V38" s="1154" t="s">
        <v>61</v>
      </c>
      <c r="W38" s="1155">
        <f t="shared" si="14"/>
        <v>100</v>
      </c>
      <c r="X38" s="1156"/>
      <c r="Y38" s="3444"/>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44"/>
      <c r="Q39" s="1145">
        <f t="shared" si="11"/>
        <v>111</v>
      </c>
      <c r="R39" s="1146" t="s">
        <v>61</v>
      </c>
      <c r="S39" s="1147">
        <f t="shared" si="12"/>
        <v>100</v>
      </c>
      <c r="T39" s="1146" t="s">
        <v>61</v>
      </c>
      <c r="U39" s="1147">
        <f t="shared" si="13"/>
        <v>100</v>
      </c>
      <c r="V39" s="1146" t="s">
        <v>61</v>
      </c>
      <c r="W39" s="1147">
        <f t="shared" si="14"/>
        <v>100</v>
      </c>
      <c r="X39" s="1133"/>
      <c r="Y39" s="3444"/>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45"/>
      <c r="Q40" s="1145">
        <f t="shared" si="11"/>
        <v>111</v>
      </c>
      <c r="R40" s="1146" t="s">
        <v>61</v>
      </c>
      <c r="S40" s="1147">
        <f t="shared" si="12"/>
        <v>100</v>
      </c>
      <c r="T40" s="1146" t="s">
        <v>61</v>
      </c>
      <c r="U40" s="1147">
        <f t="shared" si="13"/>
        <v>100</v>
      </c>
      <c r="V40" s="1146" t="s">
        <v>61</v>
      </c>
      <c r="W40" s="1147">
        <f t="shared" si="14"/>
        <v>100</v>
      </c>
      <c r="X40" s="1133"/>
      <c r="Y40" s="3445"/>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50" t="str">
        <f>A41</f>
        <v>成交单价（元/平方米）</v>
      </c>
      <c r="Q41" s="3450"/>
      <c r="R41" s="3451">
        <f>E41</f>
        <v>0</v>
      </c>
      <c r="S41" s="3451"/>
      <c r="T41" s="3451">
        <f>G41</f>
        <v>0</v>
      </c>
      <c r="U41" s="3451"/>
      <c r="V41" s="3451">
        <f>I41</f>
        <v>0</v>
      </c>
      <c r="W41" s="3451"/>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50" t="str">
        <f>A42</f>
        <v>比较价值（元/平方米）</v>
      </c>
      <c r="Q42" s="3450"/>
      <c r="R42" s="3451" t="e">
        <f>IF(E1="售价",ROUND(PRODUCT(R41,AA7:AA40),0),ROUND(PRODUCT(R41,AA7:AA40),1))</f>
        <v>#DIV/0!</v>
      </c>
      <c r="S42" s="3451"/>
      <c r="T42" s="3451" t="e">
        <f>IF(E1="售价",ROUND(PRODUCT(T41,AB7:AB40),0),ROUND(PRODUCT(T41,AB7:AB40),1))</f>
        <v>#DIV/0!</v>
      </c>
      <c r="U42" s="3451"/>
      <c r="V42" s="3451" t="e">
        <f>IF(E1="售价",ROUND(PRODUCT(V41,AC7:AC40),0),ROUND(PRODUCT(V41,AC7:AC40),1))</f>
        <v>#DIV/0!</v>
      </c>
      <c r="W42" s="3451"/>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56" t="str">
        <f>A43</f>
        <v>估价对象XX用房的比较价值（楼面单价，元/平方米）</v>
      </c>
      <c r="Q43" s="3457"/>
      <c r="R43" s="3458" t="e">
        <f>IF(E1="售价",ROUND(AVERAGE(R42:V42),0),ROUND(AVERAGE(R42:V42),1))</f>
        <v>#DIV/0!</v>
      </c>
      <c r="S43" s="3458"/>
      <c r="T43" s="3458"/>
      <c r="U43" s="3458"/>
      <c r="V43" s="3458"/>
      <c r="W43" s="3458"/>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2017-8</v>
      </c>
      <c r="D52" s="2806">
        <f>EDATE(C52,-1)</f>
        <v>42917</v>
      </c>
      <c r="E52" s="2807">
        <f t="shared" ref="E52:O52" si="16">EDATE(D52,-1)</f>
        <v>42887</v>
      </c>
      <c r="F52" s="2807">
        <f t="shared" si="16"/>
        <v>42856</v>
      </c>
      <c r="G52" s="2807">
        <f t="shared" si="16"/>
        <v>42826</v>
      </c>
      <c r="H52" s="2807">
        <f t="shared" si="16"/>
        <v>42795</v>
      </c>
      <c r="I52" s="2807">
        <f t="shared" si="16"/>
        <v>42767</v>
      </c>
      <c r="J52" s="2807">
        <f t="shared" si="16"/>
        <v>42736</v>
      </c>
      <c r="K52" s="2807">
        <f t="shared" si="16"/>
        <v>42705</v>
      </c>
      <c r="L52" s="2807">
        <f t="shared" si="16"/>
        <v>42675</v>
      </c>
      <c r="M52" s="2807">
        <f t="shared" si="16"/>
        <v>42644</v>
      </c>
      <c r="N52" s="2807">
        <f t="shared" si="16"/>
        <v>42614</v>
      </c>
      <c r="O52" s="2807">
        <f t="shared" si="16"/>
        <v>42583</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80.09</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83" t="s">
        <v>462</v>
      </c>
      <c r="D4" s="3484"/>
      <c r="E4" s="3485" t="s">
        <v>463</v>
      </c>
      <c r="F4" s="3486"/>
      <c r="G4" s="3483" t="s">
        <v>464</v>
      </c>
      <c r="H4" s="3484"/>
      <c r="I4" s="3483" t="s">
        <v>465</v>
      </c>
      <c r="J4" s="3484"/>
      <c r="K4" s="812" t="s">
        <v>466</v>
      </c>
      <c r="L4" s="2622"/>
      <c r="M4" s="643"/>
      <c r="N4" s="643"/>
      <c r="O4" s="643"/>
      <c r="P4" s="3487" t="s">
        <v>467</v>
      </c>
      <c r="Q4" s="3488"/>
      <c r="R4" s="3493" t="s">
        <v>463</v>
      </c>
      <c r="S4" s="3494"/>
      <c r="T4" s="3493" t="s">
        <v>464</v>
      </c>
      <c r="U4" s="3494"/>
      <c r="V4" s="3499" t="s">
        <v>465</v>
      </c>
      <c r="W4" s="3499"/>
      <c r="X4" s="2601"/>
      <c r="Y4" s="3493" t="s">
        <v>467</v>
      </c>
      <c r="Z4" s="3494"/>
      <c r="AA4" s="3480" t="s">
        <v>463</v>
      </c>
      <c r="AB4" s="3481" t="s">
        <v>464</v>
      </c>
      <c r="AC4" s="3480" t="s">
        <v>465</v>
      </c>
    </row>
    <row r="5" spans="1:29" ht="15">
      <c r="A5" s="601"/>
      <c r="B5" s="602"/>
      <c r="C5" s="3476" t="s">
        <v>2890</v>
      </c>
      <c r="D5" s="3477"/>
      <c r="E5" s="3500" t="s">
        <v>2891</v>
      </c>
      <c r="F5" s="3501"/>
      <c r="G5" s="3476" t="s">
        <v>2892</v>
      </c>
      <c r="H5" s="3477"/>
      <c r="I5" s="3476" t="s">
        <v>2893</v>
      </c>
      <c r="J5" s="3477"/>
      <c r="K5" s="812"/>
      <c r="L5" s="2622"/>
      <c r="M5" s="643"/>
      <c r="N5" s="643"/>
      <c r="O5" s="643"/>
      <c r="P5" s="3489"/>
      <c r="Q5" s="3490"/>
      <c r="R5" s="3495"/>
      <c r="S5" s="3496"/>
      <c r="T5" s="3495"/>
      <c r="U5" s="3496"/>
      <c r="V5" s="3499"/>
      <c r="W5" s="3499"/>
      <c r="X5" s="2601"/>
      <c r="Y5" s="3495"/>
      <c r="Z5" s="3496"/>
      <c r="AA5" s="3481"/>
      <c r="AB5" s="3481"/>
      <c r="AC5" s="3481"/>
    </row>
    <row r="6" spans="1:29" ht="15.75" thickBot="1">
      <c r="A6" s="603"/>
      <c r="B6" s="604"/>
      <c r="C6" s="3473" t="s">
        <v>2894</v>
      </c>
      <c r="D6" s="3474"/>
      <c r="E6" s="3471" t="s">
        <v>2894</v>
      </c>
      <c r="F6" s="3472"/>
      <c r="G6" s="3473" t="s">
        <v>2894</v>
      </c>
      <c r="H6" s="3474"/>
      <c r="I6" s="3473" t="s">
        <v>2894</v>
      </c>
      <c r="J6" s="3474"/>
      <c r="K6" s="812" t="s">
        <v>411</v>
      </c>
      <c r="L6" s="2622"/>
      <c r="M6" s="643"/>
      <c r="N6" s="643"/>
      <c r="O6" s="643"/>
      <c r="P6" s="3491"/>
      <c r="Q6" s="3492"/>
      <c r="R6" s="3495"/>
      <c r="S6" s="3496"/>
      <c r="T6" s="3497"/>
      <c r="U6" s="3498"/>
      <c r="V6" s="3499"/>
      <c r="W6" s="3499"/>
      <c r="X6" s="2601"/>
      <c r="Y6" s="3497"/>
      <c r="Z6" s="3498"/>
      <c r="AA6" s="3482"/>
      <c r="AB6" s="3482"/>
      <c r="AC6" s="3482"/>
    </row>
    <row r="7" spans="1:29" s="218" customFormat="1" ht="15.75" thickBot="1">
      <c r="A7" s="605" t="s">
        <v>412</v>
      </c>
      <c r="B7" s="606"/>
      <c r="C7" s="607">
        <f>'数据-取费表'!B2</f>
        <v>42969</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8" t="s">
        <v>413</v>
      </c>
      <c r="Q7" s="3502"/>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75" t="s">
        <v>416</v>
      </c>
      <c r="Q9" s="2599" t="str">
        <f t="shared" ref="Q9:Q14" si="6">B9</f>
        <v>用途</v>
      </c>
      <c r="R9" s="1110" t="s">
        <v>61</v>
      </c>
      <c r="S9" s="1111">
        <f t="shared" si="0"/>
        <v>100</v>
      </c>
      <c r="T9" s="1110" t="s">
        <v>61</v>
      </c>
      <c r="U9" s="1111">
        <f t="shared" si="1"/>
        <v>100</v>
      </c>
      <c r="V9" s="1110" t="s">
        <v>61</v>
      </c>
      <c r="W9" s="1111">
        <f t="shared" si="2"/>
        <v>100</v>
      </c>
      <c r="X9" s="1112"/>
      <c r="Y9" s="3307"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75"/>
      <c r="Q10" s="2599" t="str">
        <f t="shared" si="6"/>
        <v>土地使用年限（年）</v>
      </c>
      <c r="R10" s="1110" t="s">
        <v>61</v>
      </c>
      <c r="S10" s="1111">
        <f t="shared" si="0"/>
        <v>100</v>
      </c>
      <c r="T10" s="1110" t="s">
        <v>61</v>
      </c>
      <c r="U10" s="1111">
        <f t="shared" si="1"/>
        <v>100</v>
      </c>
      <c r="V10" s="1110" t="s">
        <v>61</v>
      </c>
      <c r="W10" s="1111">
        <f t="shared" si="2"/>
        <v>100</v>
      </c>
      <c r="X10" s="1112"/>
      <c r="Y10" s="3307"/>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75"/>
      <c r="Q11" s="2599">
        <f t="shared" si="6"/>
        <v>111</v>
      </c>
      <c r="R11" s="1110" t="s">
        <v>61</v>
      </c>
      <c r="S11" s="1111">
        <f t="shared" si="0"/>
        <v>100</v>
      </c>
      <c r="T11" s="1110" t="s">
        <v>61</v>
      </c>
      <c r="U11" s="1111">
        <f t="shared" si="1"/>
        <v>100</v>
      </c>
      <c r="V11" s="1110" t="s">
        <v>61</v>
      </c>
      <c r="W11" s="1111">
        <f t="shared" si="2"/>
        <v>100</v>
      </c>
      <c r="X11" s="1112"/>
      <c r="Y11" s="3307"/>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75"/>
      <c r="Q12" s="2599">
        <f t="shared" si="6"/>
        <v>111</v>
      </c>
      <c r="R12" s="1110" t="s">
        <v>61</v>
      </c>
      <c r="S12" s="1111">
        <f t="shared" si="0"/>
        <v>100</v>
      </c>
      <c r="T12" s="1110" t="s">
        <v>61</v>
      </c>
      <c r="U12" s="1111">
        <f t="shared" si="1"/>
        <v>100</v>
      </c>
      <c r="V12" s="1110" t="s">
        <v>61</v>
      </c>
      <c r="W12" s="1111">
        <f t="shared" si="2"/>
        <v>100</v>
      </c>
      <c r="X12" s="1112"/>
      <c r="Y12" s="3307"/>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75"/>
      <c r="Q13" s="2599">
        <f t="shared" si="6"/>
        <v>111</v>
      </c>
      <c r="R13" s="1110" t="s">
        <v>61</v>
      </c>
      <c r="S13" s="1111">
        <f t="shared" si="0"/>
        <v>100</v>
      </c>
      <c r="T13" s="1110" t="s">
        <v>61</v>
      </c>
      <c r="U13" s="1111">
        <f t="shared" si="1"/>
        <v>100</v>
      </c>
      <c r="V13" s="1110" t="s">
        <v>61</v>
      </c>
      <c r="W13" s="1111">
        <f t="shared" si="2"/>
        <v>100</v>
      </c>
      <c r="X13" s="1112"/>
      <c r="Y13" s="3307"/>
      <c r="Z13" s="206">
        <f t="shared" si="7"/>
        <v>111</v>
      </c>
      <c r="AA13" s="1113">
        <f t="shared" si="3"/>
        <v>1</v>
      </c>
      <c r="AB13" s="1113">
        <f t="shared" si="4"/>
        <v>1</v>
      </c>
      <c r="AC13" s="1113">
        <f t="shared" si="5"/>
        <v>1</v>
      </c>
    </row>
    <row r="14" spans="1:29" ht="114">
      <c r="A14" s="598" t="s">
        <v>420</v>
      </c>
      <c r="B14" s="831" t="s">
        <v>468</v>
      </c>
      <c r="C14" s="2574" t="str">
        <f>IF(B1="工业",估价对象房地状况!G4,估价对象房地状况!C6)</f>
        <v>以估价对象为中心半径2公里范围内最高级别道路为城市次干道——燕灵路，有快速直达专线61路，综合评价交通便捷度一般</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503" t="s">
        <v>421</v>
      </c>
      <c r="Q14" s="2600" t="str">
        <f t="shared" si="6"/>
        <v>交通便捷度</v>
      </c>
      <c r="R14" s="1115" t="s">
        <v>61</v>
      </c>
      <c r="S14" s="1116">
        <f t="shared" si="0"/>
        <v>100</v>
      </c>
      <c r="T14" s="1115" t="s">
        <v>61</v>
      </c>
      <c r="U14" s="1116">
        <f t="shared" si="1"/>
        <v>100</v>
      </c>
      <c r="V14" s="1115" t="s">
        <v>61</v>
      </c>
      <c r="W14" s="1116">
        <f t="shared" si="2"/>
        <v>100</v>
      </c>
      <c r="X14" s="2601"/>
      <c r="Y14" s="3503"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504"/>
      <c r="Q15" s="2600"/>
      <c r="R15" s="1115"/>
      <c r="S15" s="1116"/>
      <c r="T15" s="1115"/>
      <c r="U15" s="1116"/>
      <c r="V15" s="1115"/>
      <c r="W15" s="1116"/>
      <c r="X15" s="2601"/>
      <c r="Y15" s="3504"/>
      <c r="Z15" s="2603"/>
      <c r="AA15" s="1118">
        <v>1</v>
      </c>
      <c r="AB15" s="1118">
        <v>1</v>
      </c>
      <c r="AC15" s="1118">
        <v>1</v>
      </c>
    </row>
    <row r="16" spans="1:29" ht="42.75">
      <c r="A16" s="601"/>
      <c r="B16" s="892" t="s">
        <v>2553</v>
      </c>
      <c r="C16" s="2576" t="str">
        <f>IF(B1="工业",估价对象房地状况!G5,估价对象房地状况!C7)</f>
        <v>估价对象所在区域公共配套设施成熟度一般</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504"/>
      <c r="Q16" s="2600" t="str">
        <f>B16</f>
        <v>公共配套设施</v>
      </c>
      <c r="R16" s="1115" t="s">
        <v>61</v>
      </c>
      <c r="S16" s="1116">
        <f>F16</f>
        <v>100</v>
      </c>
      <c r="T16" s="1115" t="s">
        <v>61</v>
      </c>
      <c r="U16" s="1116">
        <f>H16</f>
        <v>100</v>
      </c>
      <c r="V16" s="1115" t="s">
        <v>61</v>
      </c>
      <c r="W16" s="1116">
        <f>J16</f>
        <v>100</v>
      </c>
      <c r="X16" s="2601"/>
      <c r="Y16" s="3504"/>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504"/>
      <c r="Q17" s="2600"/>
      <c r="R17" s="1115"/>
      <c r="S17" s="1116"/>
      <c r="T17" s="1115"/>
      <c r="U17" s="1116"/>
      <c r="V17" s="1115"/>
      <c r="W17" s="1116"/>
      <c r="X17" s="2601"/>
      <c r="Y17" s="3504"/>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504"/>
      <c r="Q18" s="2600" t="str">
        <f>B18</f>
        <v>基础设施水平</v>
      </c>
      <c r="R18" s="1115" t="s">
        <v>61</v>
      </c>
      <c r="S18" s="1116">
        <f>F18</f>
        <v>100</v>
      </c>
      <c r="T18" s="1115" t="s">
        <v>61</v>
      </c>
      <c r="U18" s="1116">
        <f>H18</f>
        <v>100</v>
      </c>
      <c r="V18" s="1115" t="s">
        <v>61</v>
      </c>
      <c r="W18" s="1116">
        <f>J18</f>
        <v>100</v>
      </c>
      <c r="X18" s="2601"/>
      <c r="Y18" s="3504"/>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504"/>
      <c r="Q19" s="2600"/>
      <c r="R19" s="1115"/>
      <c r="S19" s="1116"/>
      <c r="T19" s="1115"/>
      <c r="U19" s="1116"/>
      <c r="V19" s="1115"/>
      <c r="W19" s="1116"/>
      <c r="X19" s="2601"/>
      <c r="Y19" s="3504"/>
      <c r="Z19" s="2603"/>
      <c r="AA19" s="1118">
        <v>1</v>
      </c>
      <c r="AB19" s="1118">
        <v>1</v>
      </c>
      <c r="AC19" s="1118">
        <v>1</v>
      </c>
    </row>
    <row r="20" spans="1:29" ht="99.75">
      <c r="A20" s="601"/>
      <c r="B20" s="833" t="s">
        <v>469</v>
      </c>
      <c r="C20" s="2576" t="str">
        <f>IF(B1="工业",估价对象房地状况!G7,估价对象房地状况!C9)</f>
        <v>区域自然环境：燕郊滨河森林公园东区、燕郊植物园等；人文环境：燕京理工学院；综合评价环境状况较好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504"/>
      <c r="Q20" s="2600" t="str">
        <f>B20</f>
        <v>自然及人文环境</v>
      </c>
      <c r="R20" s="1115" t="s">
        <v>61</v>
      </c>
      <c r="S20" s="1116">
        <f>F20</f>
        <v>100</v>
      </c>
      <c r="T20" s="1115" t="s">
        <v>61</v>
      </c>
      <c r="U20" s="1116">
        <f>H20</f>
        <v>100</v>
      </c>
      <c r="V20" s="1115" t="s">
        <v>61</v>
      </c>
      <c r="W20" s="1116">
        <f>J20</f>
        <v>100</v>
      </c>
      <c r="X20" s="2601"/>
      <c r="Y20" s="3504"/>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504"/>
      <c r="Q21" s="2600"/>
      <c r="R21" s="1115"/>
      <c r="S21" s="1116"/>
      <c r="T21" s="1115"/>
      <c r="U21" s="1116"/>
      <c r="V21" s="1115"/>
      <c r="W21" s="1116"/>
      <c r="X21" s="2601"/>
      <c r="Y21" s="3504"/>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504"/>
      <c r="Q22" s="2600" t="str">
        <f>B22</f>
        <v>楼层</v>
      </c>
      <c r="R22" s="1115" t="s">
        <v>61</v>
      </c>
      <c r="S22" s="1116">
        <f>F22</f>
        <v>100</v>
      </c>
      <c r="T22" s="1115" t="s">
        <v>61</v>
      </c>
      <c r="U22" s="1116">
        <f>H22</f>
        <v>100</v>
      </c>
      <c r="V22" s="1115" t="s">
        <v>61</v>
      </c>
      <c r="W22" s="1116">
        <f>J22</f>
        <v>100</v>
      </c>
      <c r="X22" s="2601"/>
      <c r="Y22" s="3504"/>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504"/>
      <c r="Q23" s="2600">
        <f>B23</f>
        <v>111</v>
      </c>
      <c r="R23" s="1115" t="s">
        <v>61</v>
      </c>
      <c r="S23" s="1116">
        <f>F23</f>
        <v>100</v>
      </c>
      <c r="T23" s="1115" t="s">
        <v>61</v>
      </c>
      <c r="U23" s="1116">
        <f>H23</f>
        <v>100</v>
      </c>
      <c r="V23" s="1115" t="s">
        <v>61</v>
      </c>
      <c r="W23" s="1116">
        <f>J23</f>
        <v>100</v>
      </c>
      <c r="X23" s="2601"/>
      <c r="Y23" s="3504"/>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504"/>
      <c r="Q24" s="2600">
        <f t="shared" ref="Q24:Q36" si="11">B24</f>
        <v>111</v>
      </c>
      <c r="R24" s="1115" t="s">
        <v>61</v>
      </c>
      <c r="S24" s="1116">
        <f>F24</f>
        <v>100</v>
      </c>
      <c r="T24" s="1115" t="s">
        <v>61</v>
      </c>
      <c r="U24" s="1116">
        <f>H24</f>
        <v>100</v>
      </c>
      <c r="V24" s="1115" t="s">
        <v>61</v>
      </c>
      <c r="W24" s="1116">
        <f>J24</f>
        <v>100</v>
      </c>
      <c r="X24" s="2601"/>
      <c r="Y24" s="3504"/>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504"/>
      <c r="Q25" s="2599">
        <f t="shared" si="11"/>
        <v>111</v>
      </c>
      <c r="R25" s="1110" t="s">
        <v>61</v>
      </c>
      <c r="S25" s="1111">
        <f>F25</f>
        <v>100</v>
      </c>
      <c r="T25" s="1110" t="s">
        <v>61</v>
      </c>
      <c r="U25" s="1111">
        <f>H25</f>
        <v>100</v>
      </c>
      <c r="V25" s="1110" t="s">
        <v>61</v>
      </c>
      <c r="W25" s="1111">
        <f>J25</f>
        <v>100</v>
      </c>
      <c r="X25" s="1112"/>
      <c r="Y25" s="3504"/>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505"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506"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506"/>
      <c r="Q27" s="1119" t="str">
        <f t="shared" si="11"/>
        <v>项目停车位配比</v>
      </c>
      <c r="R27" s="1120" t="s">
        <v>61</v>
      </c>
      <c r="S27" s="1121">
        <f t="shared" si="12"/>
        <v>100</v>
      </c>
      <c r="T27" s="1120" t="s">
        <v>61</v>
      </c>
      <c r="U27" s="1121">
        <f t="shared" si="13"/>
        <v>100</v>
      </c>
      <c r="V27" s="1120" t="s">
        <v>61</v>
      </c>
      <c r="W27" s="1121">
        <f t="shared" si="14"/>
        <v>100</v>
      </c>
      <c r="X27" s="1122"/>
      <c r="Y27" s="3506"/>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506"/>
      <c r="Q28" s="2600" t="str">
        <f t="shared" si="11"/>
        <v>公共部分装修</v>
      </c>
      <c r="R28" s="1115" t="s">
        <v>61</v>
      </c>
      <c r="S28" s="1116">
        <f t="shared" si="12"/>
        <v>100</v>
      </c>
      <c r="T28" s="1115" t="s">
        <v>61</v>
      </c>
      <c r="U28" s="1116">
        <f t="shared" si="13"/>
        <v>100</v>
      </c>
      <c r="V28" s="1115" t="s">
        <v>61</v>
      </c>
      <c r="W28" s="1116">
        <f t="shared" si="14"/>
        <v>100</v>
      </c>
      <c r="X28" s="2601"/>
      <c r="Y28" s="3506"/>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506"/>
      <c r="Q29" s="2600" t="str">
        <f t="shared" si="11"/>
        <v>成新率</v>
      </c>
      <c r="R29" s="1115" t="s">
        <v>61</v>
      </c>
      <c r="S29" s="1116" t="e">
        <f t="shared" si="12"/>
        <v>#N/A</v>
      </c>
      <c r="T29" s="1115" t="s">
        <v>61</v>
      </c>
      <c r="U29" s="1116" t="e">
        <f t="shared" si="13"/>
        <v>#N/A</v>
      </c>
      <c r="V29" s="1115" t="s">
        <v>61</v>
      </c>
      <c r="W29" s="1116" t="e">
        <f t="shared" si="14"/>
        <v>#N/A</v>
      </c>
      <c r="X29" s="2601"/>
      <c r="Y29" s="3506"/>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506"/>
      <c r="Q30" s="2600" t="str">
        <f t="shared" si="11"/>
        <v>物业等级</v>
      </c>
      <c r="R30" s="1115" t="s">
        <v>61</v>
      </c>
      <c r="S30" s="1116">
        <f t="shared" si="12"/>
        <v>100</v>
      </c>
      <c r="T30" s="1115" t="s">
        <v>61</v>
      </c>
      <c r="U30" s="1116">
        <f t="shared" si="13"/>
        <v>100</v>
      </c>
      <c r="V30" s="1115" t="s">
        <v>61</v>
      </c>
      <c r="W30" s="1116">
        <f t="shared" si="14"/>
        <v>100</v>
      </c>
      <c r="X30" s="2601"/>
      <c r="Y30" s="3506"/>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506"/>
      <c r="Q31" s="2599" t="str">
        <f t="shared" si="11"/>
        <v>停车位面积</v>
      </c>
      <c r="R31" s="1110" t="s">
        <v>61</v>
      </c>
      <c r="S31" s="1111" t="e">
        <f t="shared" si="12"/>
        <v>#N/A</v>
      </c>
      <c r="T31" s="1110" t="s">
        <v>61</v>
      </c>
      <c r="U31" s="1111" t="e">
        <f t="shared" si="13"/>
        <v>#N/A</v>
      </c>
      <c r="V31" s="1110" t="s">
        <v>61</v>
      </c>
      <c r="W31" s="1111" t="e">
        <f t="shared" si="14"/>
        <v>#N/A</v>
      </c>
      <c r="X31" s="1112"/>
      <c r="Y31" s="3506"/>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506" t="s">
        <v>423</v>
      </c>
      <c r="Q32" s="2600" t="str">
        <f t="shared" si="11"/>
        <v>车位类型</v>
      </c>
      <c r="R32" s="1115" t="s">
        <v>61</v>
      </c>
      <c r="S32" s="1116">
        <f t="shared" si="12"/>
        <v>100</v>
      </c>
      <c r="T32" s="1115" t="s">
        <v>61</v>
      </c>
      <c r="U32" s="1116">
        <f t="shared" si="13"/>
        <v>100</v>
      </c>
      <c r="V32" s="1115" t="s">
        <v>61</v>
      </c>
      <c r="W32" s="1116">
        <f t="shared" si="14"/>
        <v>100</v>
      </c>
      <c r="X32" s="2601"/>
      <c r="Y32" s="3506"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506"/>
      <c r="Q33" s="2600" t="str">
        <f t="shared" si="11"/>
        <v>是否直接入户</v>
      </c>
      <c r="R33" s="1115" t="s">
        <v>61</v>
      </c>
      <c r="S33" s="1116">
        <f t="shared" si="12"/>
        <v>100</v>
      </c>
      <c r="T33" s="1115" t="s">
        <v>61</v>
      </c>
      <c r="U33" s="1116">
        <f t="shared" si="13"/>
        <v>100</v>
      </c>
      <c r="V33" s="1115" t="s">
        <v>61</v>
      </c>
      <c r="W33" s="1116">
        <f t="shared" si="14"/>
        <v>100</v>
      </c>
      <c r="X33" s="2601"/>
      <c r="Y33" s="3506"/>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506"/>
      <c r="Q34" s="2600">
        <f t="shared" si="11"/>
        <v>111</v>
      </c>
      <c r="R34" s="1115" t="s">
        <v>61</v>
      </c>
      <c r="S34" s="1116">
        <f t="shared" si="12"/>
        <v>100</v>
      </c>
      <c r="T34" s="1115" t="s">
        <v>61</v>
      </c>
      <c r="U34" s="1116">
        <f t="shared" si="13"/>
        <v>100</v>
      </c>
      <c r="V34" s="1115" t="s">
        <v>61</v>
      </c>
      <c r="W34" s="1116">
        <f t="shared" si="14"/>
        <v>100</v>
      </c>
      <c r="X34" s="2601"/>
      <c r="Y34" s="3506"/>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506"/>
      <c r="Q35" s="1119">
        <f t="shared" si="11"/>
        <v>111</v>
      </c>
      <c r="R35" s="1120" t="s">
        <v>61</v>
      </c>
      <c r="S35" s="1121">
        <f t="shared" si="12"/>
        <v>100</v>
      </c>
      <c r="T35" s="1120" t="s">
        <v>61</v>
      </c>
      <c r="U35" s="1121">
        <f t="shared" si="13"/>
        <v>100</v>
      </c>
      <c r="V35" s="1120" t="s">
        <v>61</v>
      </c>
      <c r="W35" s="1121">
        <f t="shared" si="14"/>
        <v>100</v>
      </c>
      <c r="X35" s="1122"/>
      <c r="Y35" s="3506"/>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506"/>
      <c r="Q36" s="2600">
        <f t="shared" si="11"/>
        <v>111</v>
      </c>
      <c r="R36" s="1115" t="s">
        <v>61</v>
      </c>
      <c r="S36" s="1116">
        <f t="shared" si="12"/>
        <v>100</v>
      </c>
      <c r="T36" s="1115" t="s">
        <v>61</v>
      </c>
      <c r="U36" s="1116">
        <f t="shared" si="13"/>
        <v>100</v>
      </c>
      <c r="V36" s="1115" t="s">
        <v>61</v>
      </c>
      <c r="W36" s="1116">
        <f t="shared" si="14"/>
        <v>100</v>
      </c>
      <c r="X36" s="2601"/>
      <c r="Y36" s="3506"/>
      <c r="Z36" s="2603">
        <f t="shared" si="15"/>
        <v>111</v>
      </c>
      <c r="AA36" s="1118">
        <f t="shared" si="3"/>
        <v>1</v>
      </c>
      <c r="AB36" s="1118">
        <f t="shared" si="4"/>
        <v>1</v>
      </c>
      <c r="AC36" s="1118">
        <f t="shared" si="5"/>
        <v>1</v>
      </c>
    </row>
    <row r="37" spans="1:29" ht="15">
      <c r="A37" s="113" t="s">
        <v>2014</v>
      </c>
      <c r="B37" s="1903" t="s">
        <v>2865</v>
      </c>
      <c r="C37" s="2610" t="s">
        <v>20</v>
      </c>
      <c r="D37" s="2611"/>
      <c r="E37" s="2612"/>
      <c r="F37" s="2613"/>
      <c r="G37" s="2614"/>
      <c r="H37" s="2615"/>
      <c r="I37" s="2612"/>
      <c r="J37" s="2615"/>
      <c r="K37" s="821"/>
      <c r="L37" s="2633"/>
      <c r="M37" s="1098"/>
      <c r="N37" s="643"/>
      <c r="O37" s="1098"/>
      <c r="P37" s="3475" t="str">
        <f>A37</f>
        <v>成交单价</v>
      </c>
      <c r="Q37" s="3475"/>
      <c r="R37" s="3507">
        <f>E37</f>
        <v>0</v>
      </c>
      <c r="S37" s="3507"/>
      <c r="T37" s="3507">
        <f>G37</f>
        <v>0</v>
      </c>
      <c r="U37" s="3507"/>
      <c r="V37" s="3507">
        <f>I37</f>
        <v>0</v>
      </c>
      <c r="W37" s="3507"/>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75" t="str">
        <f>A38</f>
        <v>比较价值</v>
      </c>
      <c r="Q38" s="3475"/>
      <c r="R38" s="3507" t="e">
        <f>IF(E1="售价",ROUND(PRODUCT(R37,AA7:AA36),0),ROUND(PRODUCT(R37,AA7:AA36),1))</f>
        <v>#DIV/0!</v>
      </c>
      <c r="S38" s="3507"/>
      <c r="T38" s="3507" t="e">
        <f>IF(E1="售价",ROUND(PRODUCT(T37,AB7:AB36),0),ROUND(PRODUCT(T37,AB7:AB36),1))</f>
        <v>#DIV/0!</v>
      </c>
      <c r="U38" s="3507"/>
      <c r="V38" s="3507" t="e">
        <f>IF(E1="售价",ROUND(PRODUCT(V37,AC7:AC36),0),ROUND(PRODUCT(V37,AC7:AC36),1))</f>
        <v>#DIV/0!</v>
      </c>
      <c r="W38" s="3507"/>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508" t="str">
        <f>A39</f>
        <v>估价对象XX用房的比较价值（楼面单价，元/平方米）</v>
      </c>
      <c r="Q39" s="3509"/>
      <c r="R39" s="3510" t="e">
        <f>IF(E1="售价",ROUND(AVERAGE(R38:V38),0),ROUND(AVERAGE(R38:V38),1))</f>
        <v>#DIV/0!</v>
      </c>
      <c r="S39" s="3510"/>
      <c r="T39" s="3510"/>
      <c r="U39" s="3510"/>
      <c r="V39" s="3510"/>
      <c r="W39" s="3510"/>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2017-8</v>
      </c>
      <c r="D48" s="2806">
        <f>EDATE(C48,-1)</f>
        <v>42917</v>
      </c>
      <c r="E48" s="2806">
        <f t="shared" ref="E48:O48" si="16">EDATE(D48,-1)</f>
        <v>42887</v>
      </c>
      <c r="F48" s="2806">
        <f t="shared" si="16"/>
        <v>42856</v>
      </c>
      <c r="G48" s="2806">
        <f t="shared" si="16"/>
        <v>42826</v>
      </c>
      <c r="H48" s="2806">
        <f t="shared" si="16"/>
        <v>42795</v>
      </c>
      <c r="I48" s="2806">
        <f t="shared" si="16"/>
        <v>42767</v>
      </c>
      <c r="J48" s="2806">
        <f t="shared" si="16"/>
        <v>42736</v>
      </c>
      <c r="K48" s="2806">
        <f t="shared" si="16"/>
        <v>42705</v>
      </c>
      <c r="L48" s="2806">
        <f t="shared" si="16"/>
        <v>42675</v>
      </c>
      <c r="M48" s="2806">
        <f t="shared" si="16"/>
        <v>42644</v>
      </c>
      <c r="N48" s="2806">
        <f t="shared" si="16"/>
        <v>42614</v>
      </c>
      <c r="O48" s="2806">
        <f t="shared" si="16"/>
        <v>42583</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80.09</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83" t="s">
        <v>462</v>
      </c>
      <c r="D4" s="3484"/>
      <c r="E4" s="3485" t="s">
        <v>463</v>
      </c>
      <c r="F4" s="3486"/>
      <c r="G4" s="3483" t="s">
        <v>464</v>
      </c>
      <c r="H4" s="3484"/>
      <c r="I4" s="3483" t="s">
        <v>465</v>
      </c>
      <c r="J4" s="3484"/>
      <c r="K4" s="812" t="s">
        <v>466</v>
      </c>
      <c r="L4" s="2206"/>
      <c r="M4" s="2207"/>
      <c r="N4" s="2207"/>
      <c r="O4" s="2207"/>
      <c r="P4" s="3487" t="s">
        <v>467</v>
      </c>
      <c r="Q4" s="3488"/>
      <c r="R4" s="3493" t="s">
        <v>463</v>
      </c>
      <c r="S4" s="3494"/>
      <c r="T4" s="3493" t="s">
        <v>464</v>
      </c>
      <c r="U4" s="3494"/>
      <c r="V4" s="3499" t="s">
        <v>465</v>
      </c>
      <c r="W4" s="3499"/>
      <c r="X4" s="1109"/>
      <c r="Y4" s="3493" t="s">
        <v>467</v>
      </c>
      <c r="Z4" s="3494"/>
      <c r="AA4" s="3480" t="s">
        <v>463</v>
      </c>
      <c r="AB4" s="3481" t="s">
        <v>464</v>
      </c>
      <c r="AC4" s="3480" t="s">
        <v>465</v>
      </c>
    </row>
    <row r="5" spans="1:29" ht="15">
      <c r="A5" s="601"/>
      <c r="B5" s="602"/>
      <c r="C5" s="3459" t="s">
        <v>1036</v>
      </c>
      <c r="D5" s="3460"/>
      <c r="E5" s="3461" t="s">
        <v>1037</v>
      </c>
      <c r="F5" s="3462"/>
      <c r="G5" s="3459" t="s">
        <v>57</v>
      </c>
      <c r="H5" s="3460"/>
      <c r="I5" s="3459" t="s">
        <v>1038</v>
      </c>
      <c r="J5" s="3460"/>
      <c r="K5" s="812"/>
      <c r="L5" s="2206"/>
      <c r="M5" s="2207"/>
      <c r="N5" s="2207"/>
      <c r="O5" s="2207"/>
      <c r="P5" s="3489"/>
      <c r="Q5" s="3490"/>
      <c r="R5" s="3495"/>
      <c r="S5" s="3496"/>
      <c r="T5" s="3495"/>
      <c r="U5" s="3496"/>
      <c r="V5" s="3499"/>
      <c r="W5" s="3499"/>
      <c r="X5" s="1109"/>
      <c r="Y5" s="3495"/>
      <c r="Z5" s="3496"/>
      <c r="AA5" s="3481"/>
      <c r="AB5" s="3481"/>
      <c r="AC5" s="3481"/>
    </row>
    <row r="6" spans="1:29" ht="15.75" thickBot="1">
      <c r="A6" s="603"/>
      <c r="B6" s="604"/>
      <c r="C6" s="3435" t="s">
        <v>1039</v>
      </c>
      <c r="D6" s="3436"/>
      <c r="E6" s="3437" t="s">
        <v>1039</v>
      </c>
      <c r="F6" s="3438"/>
      <c r="G6" s="3435" t="s">
        <v>1039</v>
      </c>
      <c r="H6" s="3436"/>
      <c r="I6" s="3435" t="s">
        <v>1039</v>
      </c>
      <c r="J6" s="3436"/>
      <c r="K6" s="812" t="s">
        <v>411</v>
      </c>
      <c r="L6" s="2206"/>
      <c r="M6" s="2207"/>
      <c r="N6" s="2207"/>
      <c r="O6" s="2207"/>
      <c r="P6" s="3491"/>
      <c r="Q6" s="3492"/>
      <c r="R6" s="3495"/>
      <c r="S6" s="3496"/>
      <c r="T6" s="3497"/>
      <c r="U6" s="3498"/>
      <c r="V6" s="3499"/>
      <c r="W6" s="3499"/>
      <c r="X6" s="1109"/>
      <c r="Y6" s="3497"/>
      <c r="Z6" s="3498"/>
      <c r="AA6" s="3482"/>
      <c r="AB6" s="3482"/>
      <c r="AC6" s="3482"/>
    </row>
    <row r="7" spans="1:29" s="218" customFormat="1" ht="15.75" thickBot="1">
      <c r="A7" s="605" t="s">
        <v>412</v>
      </c>
      <c r="B7" s="606"/>
      <c r="C7" s="607">
        <f>'数据-取费表'!B2</f>
        <v>42969</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8" t="s">
        <v>413</v>
      </c>
      <c r="Q7" s="3502"/>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75" t="s">
        <v>416</v>
      </c>
      <c r="Q9" s="192" t="str">
        <f t="shared" ref="Q9:Q14" si="6">B9</f>
        <v>用途</v>
      </c>
      <c r="R9" s="1110" t="s">
        <v>61</v>
      </c>
      <c r="S9" s="1111">
        <f t="shared" si="0"/>
        <v>100</v>
      </c>
      <c r="T9" s="1110" t="s">
        <v>61</v>
      </c>
      <c r="U9" s="1111">
        <f t="shared" si="1"/>
        <v>100</v>
      </c>
      <c r="V9" s="1110" t="s">
        <v>61</v>
      </c>
      <c r="W9" s="1111">
        <f t="shared" si="2"/>
        <v>100</v>
      </c>
      <c r="X9" s="1112"/>
      <c r="Y9" s="3307"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75"/>
      <c r="Q10" s="192" t="str">
        <f t="shared" si="6"/>
        <v>土地使用年限（年）</v>
      </c>
      <c r="R10" s="1110" t="s">
        <v>61</v>
      </c>
      <c r="S10" s="1111">
        <f t="shared" si="0"/>
        <v>100</v>
      </c>
      <c r="T10" s="1110" t="s">
        <v>61</v>
      </c>
      <c r="U10" s="1111">
        <f t="shared" si="1"/>
        <v>100</v>
      </c>
      <c r="V10" s="1110" t="s">
        <v>61</v>
      </c>
      <c r="W10" s="1111">
        <f t="shared" si="2"/>
        <v>100</v>
      </c>
      <c r="X10" s="1112"/>
      <c r="Y10" s="3307"/>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75"/>
      <c r="Q11" s="192">
        <f t="shared" si="6"/>
        <v>111</v>
      </c>
      <c r="R11" s="1110" t="s">
        <v>61</v>
      </c>
      <c r="S11" s="1111">
        <f t="shared" si="0"/>
        <v>100</v>
      </c>
      <c r="T11" s="1110" t="s">
        <v>61</v>
      </c>
      <c r="U11" s="1111">
        <f t="shared" si="1"/>
        <v>100</v>
      </c>
      <c r="V11" s="1110" t="s">
        <v>61</v>
      </c>
      <c r="W11" s="1111">
        <f t="shared" si="2"/>
        <v>100</v>
      </c>
      <c r="X11" s="1112"/>
      <c r="Y11" s="3307"/>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75"/>
      <c r="Q12" s="192">
        <f t="shared" si="6"/>
        <v>111</v>
      </c>
      <c r="R12" s="1110" t="s">
        <v>61</v>
      </c>
      <c r="S12" s="1111">
        <f t="shared" si="0"/>
        <v>100</v>
      </c>
      <c r="T12" s="1110" t="s">
        <v>61</v>
      </c>
      <c r="U12" s="1111">
        <f t="shared" si="1"/>
        <v>100</v>
      </c>
      <c r="V12" s="1110" t="s">
        <v>61</v>
      </c>
      <c r="W12" s="1111">
        <f t="shared" si="2"/>
        <v>100</v>
      </c>
      <c r="X12" s="1112"/>
      <c r="Y12" s="3307"/>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75"/>
      <c r="Q13" s="192">
        <f t="shared" si="6"/>
        <v>111</v>
      </c>
      <c r="R13" s="1110" t="s">
        <v>61</v>
      </c>
      <c r="S13" s="1111">
        <f t="shared" si="0"/>
        <v>100</v>
      </c>
      <c r="T13" s="1110" t="s">
        <v>61</v>
      </c>
      <c r="U13" s="1111">
        <f t="shared" si="1"/>
        <v>100</v>
      </c>
      <c r="V13" s="1110" t="s">
        <v>61</v>
      </c>
      <c r="W13" s="1111">
        <f t="shared" si="2"/>
        <v>100</v>
      </c>
      <c r="X13" s="1112"/>
      <c r="Y13" s="3307"/>
      <c r="Z13" s="206">
        <f t="shared" si="7"/>
        <v>111</v>
      </c>
      <c r="AA13" s="1113">
        <f t="shared" si="3"/>
        <v>1</v>
      </c>
      <c r="AB13" s="1113">
        <f t="shared" si="4"/>
        <v>1</v>
      </c>
      <c r="AC13" s="1113">
        <f t="shared" si="5"/>
        <v>1</v>
      </c>
    </row>
    <row r="14" spans="1:29" ht="135">
      <c r="A14" s="637" t="s">
        <v>420</v>
      </c>
      <c r="B14" s="209" t="s">
        <v>468</v>
      </c>
      <c r="C14" s="164" t="str">
        <f>IF(B1="工业",估价对象房地状况!G4,估价对象房地状况!C6)</f>
        <v>以估价对象为中心半径2公里范围内最高级别道路为城市次干道——燕灵路，有快速直达专线61路，综合评价交通便捷度一般</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503" t="s">
        <v>421</v>
      </c>
      <c r="Q14" s="1114" t="str">
        <f t="shared" si="6"/>
        <v>交通便捷度</v>
      </c>
      <c r="R14" s="1115" t="s">
        <v>61</v>
      </c>
      <c r="S14" s="1116">
        <f t="shared" si="0"/>
        <v>100</v>
      </c>
      <c r="T14" s="1115" t="s">
        <v>61</v>
      </c>
      <c r="U14" s="1116">
        <f t="shared" si="1"/>
        <v>100</v>
      </c>
      <c r="V14" s="1115" t="s">
        <v>61</v>
      </c>
      <c r="W14" s="1116">
        <f t="shared" si="2"/>
        <v>100</v>
      </c>
      <c r="X14" s="1109"/>
      <c r="Y14" s="3503"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504"/>
      <c r="Q15" s="1114"/>
      <c r="R15" s="1115"/>
      <c r="S15" s="1116"/>
      <c r="T15" s="1115"/>
      <c r="U15" s="1116"/>
      <c r="V15" s="1115"/>
      <c r="W15" s="1116"/>
      <c r="X15" s="1109"/>
      <c r="Y15" s="3504"/>
      <c r="Z15" s="1117"/>
      <c r="AA15" s="1118">
        <v>1</v>
      </c>
      <c r="AB15" s="1118">
        <v>1</v>
      </c>
      <c r="AC15" s="1118">
        <v>1</v>
      </c>
    </row>
    <row r="16" spans="1:29" ht="54">
      <c r="A16" s="626"/>
      <c r="B16" s="892" t="s">
        <v>2553</v>
      </c>
      <c r="C16" s="108" t="str">
        <f>IF(B1="工业",估价对象房地状况!G5,估价对象房地状况!C7)</f>
        <v>估价对象所在区域公共配套设施成熟度一般</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504"/>
      <c r="Q16" s="1114" t="str">
        <f>B16</f>
        <v>公共配套设施</v>
      </c>
      <c r="R16" s="1115" t="s">
        <v>61</v>
      </c>
      <c r="S16" s="1116">
        <f>F16</f>
        <v>100</v>
      </c>
      <c r="T16" s="1115" t="s">
        <v>61</v>
      </c>
      <c r="U16" s="1116">
        <f>H16</f>
        <v>100</v>
      </c>
      <c r="V16" s="1115" t="s">
        <v>61</v>
      </c>
      <c r="W16" s="1116">
        <f>J16</f>
        <v>100</v>
      </c>
      <c r="X16" s="1109"/>
      <c r="Y16" s="3504"/>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504"/>
      <c r="Q17" s="1114"/>
      <c r="R17" s="1115"/>
      <c r="S17" s="1116"/>
      <c r="T17" s="1115"/>
      <c r="U17" s="1116"/>
      <c r="V17" s="1115"/>
      <c r="W17" s="1116"/>
      <c r="X17" s="1109"/>
      <c r="Y17" s="3504"/>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504"/>
      <c r="Q18" s="2551" t="str">
        <f>B18</f>
        <v>基础设施水平</v>
      </c>
      <c r="R18" s="1115" t="s">
        <v>61</v>
      </c>
      <c r="S18" s="1116">
        <f>F18</f>
        <v>100</v>
      </c>
      <c r="T18" s="1115" t="s">
        <v>61</v>
      </c>
      <c r="U18" s="1116">
        <f>H18</f>
        <v>100</v>
      </c>
      <c r="V18" s="1115" t="s">
        <v>61</v>
      </c>
      <c r="W18" s="1116">
        <f>J18</f>
        <v>100</v>
      </c>
      <c r="X18" s="2552"/>
      <c r="Y18" s="3504"/>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504"/>
      <c r="Q19" s="2551"/>
      <c r="R19" s="1115"/>
      <c r="S19" s="1116"/>
      <c r="T19" s="1115"/>
      <c r="U19" s="1116"/>
      <c r="V19" s="1115"/>
      <c r="W19" s="1116"/>
      <c r="X19" s="2552"/>
      <c r="Y19" s="3504"/>
      <c r="Z19" s="2553"/>
      <c r="AA19" s="1118">
        <v>1</v>
      </c>
      <c r="AB19" s="1118">
        <v>1</v>
      </c>
      <c r="AC19" s="1118">
        <v>1</v>
      </c>
    </row>
    <row r="20" spans="1:29" ht="121.5">
      <c r="A20" s="626"/>
      <c r="B20" s="649" t="s">
        <v>469</v>
      </c>
      <c r="C20" s="108" t="str">
        <f>IF(B1="工业",估价对象房地状况!G7,估价对象房地状况!C9)</f>
        <v>区域自然环境：燕郊滨河森林公园东区、燕郊植物园等；人文环境：燕京理工学院；综合评价环境状况较好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504"/>
      <c r="Q20" s="1114" t="str">
        <f>B20</f>
        <v>自然及人文环境</v>
      </c>
      <c r="R20" s="1115" t="s">
        <v>61</v>
      </c>
      <c r="S20" s="1116">
        <f>F20</f>
        <v>100</v>
      </c>
      <c r="T20" s="1115" t="s">
        <v>61</v>
      </c>
      <c r="U20" s="1116">
        <f>H20</f>
        <v>100</v>
      </c>
      <c r="V20" s="1115" t="s">
        <v>61</v>
      </c>
      <c r="W20" s="1116">
        <f>J20</f>
        <v>100</v>
      </c>
      <c r="X20" s="1109"/>
      <c r="Y20" s="3504"/>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504"/>
      <c r="Q21" s="1114"/>
      <c r="R21" s="1115"/>
      <c r="S21" s="1116"/>
      <c r="T21" s="1115"/>
      <c r="U21" s="1116"/>
      <c r="V21" s="1115"/>
      <c r="W21" s="1116"/>
      <c r="X21" s="1109"/>
      <c r="Y21" s="3504"/>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504"/>
      <c r="Q22" s="1114" t="str">
        <f>B22</f>
        <v>楼层</v>
      </c>
      <c r="R22" s="1115" t="s">
        <v>61</v>
      </c>
      <c r="S22" s="1116">
        <f>F22</f>
        <v>100</v>
      </c>
      <c r="T22" s="1115" t="s">
        <v>61</v>
      </c>
      <c r="U22" s="1116">
        <f>H22</f>
        <v>100</v>
      </c>
      <c r="V22" s="1115" t="s">
        <v>61</v>
      </c>
      <c r="W22" s="1116">
        <f>J22</f>
        <v>100</v>
      </c>
      <c r="X22" s="1109"/>
      <c r="Y22" s="3504"/>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504"/>
      <c r="Q23" s="1114">
        <f>B23</f>
        <v>111</v>
      </c>
      <c r="R23" s="1115" t="s">
        <v>61</v>
      </c>
      <c r="S23" s="1116">
        <f>F23</f>
        <v>100</v>
      </c>
      <c r="T23" s="1115" t="s">
        <v>61</v>
      </c>
      <c r="U23" s="1116">
        <f>H23</f>
        <v>100</v>
      </c>
      <c r="V23" s="1115" t="s">
        <v>61</v>
      </c>
      <c r="W23" s="1116">
        <f>J23</f>
        <v>100</v>
      </c>
      <c r="X23" s="1109"/>
      <c r="Y23" s="3504"/>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504"/>
      <c r="Q24" s="1114">
        <f t="shared" ref="Q24:Q34" si="11">B24</f>
        <v>111</v>
      </c>
      <c r="R24" s="1115" t="s">
        <v>61</v>
      </c>
      <c r="S24" s="1116">
        <f>F24</f>
        <v>100</v>
      </c>
      <c r="T24" s="1115" t="s">
        <v>61</v>
      </c>
      <c r="U24" s="1116">
        <f>H24</f>
        <v>100</v>
      </c>
      <c r="V24" s="1115" t="s">
        <v>61</v>
      </c>
      <c r="W24" s="1116">
        <f>J24</f>
        <v>100</v>
      </c>
      <c r="X24" s="1109"/>
      <c r="Y24" s="3504"/>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504"/>
      <c r="Q25" s="192">
        <f t="shared" si="11"/>
        <v>111</v>
      </c>
      <c r="R25" s="1110" t="s">
        <v>61</v>
      </c>
      <c r="S25" s="1111">
        <f>F25</f>
        <v>100</v>
      </c>
      <c r="T25" s="1110" t="s">
        <v>61</v>
      </c>
      <c r="U25" s="1111">
        <f>H25</f>
        <v>100</v>
      </c>
      <c r="V25" s="1110" t="s">
        <v>61</v>
      </c>
      <c r="W25" s="1111">
        <f>J25</f>
        <v>100</v>
      </c>
      <c r="X25" s="1112"/>
      <c r="Y25" s="3504"/>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505"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06"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506"/>
      <c r="Q27" s="1119" t="str">
        <f t="shared" si="11"/>
        <v>成新率</v>
      </c>
      <c r="R27" s="1120" t="s">
        <v>61</v>
      </c>
      <c r="S27" s="1121" t="e">
        <f t="shared" si="12"/>
        <v>#N/A</v>
      </c>
      <c r="T27" s="1120" t="s">
        <v>61</v>
      </c>
      <c r="U27" s="1121" t="e">
        <f t="shared" si="13"/>
        <v>#N/A</v>
      </c>
      <c r="V27" s="1120" t="s">
        <v>61</v>
      </c>
      <c r="W27" s="1121" t="e">
        <f t="shared" si="14"/>
        <v>#N/A</v>
      </c>
      <c r="X27" s="1122"/>
      <c r="Y27" s="3506"/>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506"/>
      <c r="Q28" s="1114" t="str">
        <f t="shared" si="11"/>
        <v>物业等级</v>
      </c>
      <c r="R28" s="1115" t="s">
        <v>61</v>
      </c>
      <c r="S28" s="1116">
        <f t="shared" si="12"/>
        <v>100</v>
      </c>
      <c r="T28" s="1115" t="s">
        <v>61</v>
      </c>
      <c r="U28" s="1116">
        <f t="shared" si="13"/>
        <v>100</v>
      </c>
      <c r="V28" s="1115" t="s">
        <v>61</v>
      </c>
      <c r="W28" s="1116">
        <f t="shared" si="14"/>
        <v>100</v>
      </c>
      <c r="X28" s="1109"/>
      <c r="Y28" s="3506"/>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506"/>
      <c r="Q29" s="1114" t="str">
        <f t="shared" si="11"/>
        <v>有无电梯</v>
      </c>
      <c r="R29" s="1115" t="s">
        <v>61</v>
      </c>
      <c r="S29" s="1116">
        <f t="shared" si="12"/>
        <v>100</v>
      </c>
      <c r="T29" s="1115" t="s">
        <v>61</v>
      </c>
      <c r="U29" s="1116">
        <f t="shared" si="13"/>
        <v>100</v>
      </c>
      <c r="V29" s="1115" t="s">
        <v>61</v>
      </c>
      <c r="W29" s="1116">
        <f t="shared" si="14"/>
        <v>100</v>
      </c>
      <c r="X29" s="1109"/>
      <c r="Y29" s="3506"/>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506"/>
      <c r="Q30" s="1114" t="str">
        <f t="shared" si="11"/>
        <v>建筑面积</v>
      </c>
      <c r="R30" s="1115" t="s">
        <v>61</v>
      </c>
      <c r="S30" s="1116" t="e">
        <f t="shared" si="12"/>
        <v>#N/A</v>
      </c>
      <c r="T30" s="1115" t="s">
        <v>61</v>
      </c>
      <c r="U30" s="1116" t="e">
        <f t="shared" si="13"/>
        <v>#N/A</v>
      </c>
      <c r="V30" s="1115" t="s">
        <v>61</v>
      </c>
      <c r="W30" s="1116" t="e">
        <f t="shared" si="14"/>
        <v>#N/A</v>
      </c>
      <c r="X30" s="1109"/>
      <c r="Y30" s="3506"/>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506"/>
      <c r="Q31" s="192" t="str">
        <f t="shared" si="11"/>
        <v>是否封闭</v>
      </c>
      <c r="R31" s="1110" t="s">
        <v>61</v>
      </c>
      <c r="S31" s="1111">
        <f t="shared" si="12"/>
        <v>100</v>
      </c>
      <c r="T31" s="1110" t="s">
        <v>61</v>
      </c>
      <c r="U31" s="1111">
        <f t="shared" si="13"/>
        <v>100</v>
      </c>
      <c r="V31" s="1110" t="s">
        <v>61</v>
      </c>
      <c r="W31" s="1111">
        <f t="shared" si="14"/>
        <v>100</v>
      </c>
      <c r="X31" s="1112"/>
      <c r="Y31" s="3506"/>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506" t="s">
        <v>423</v>
      </c>
      <c r="Q32" s="1114">
        <f t="shared" si="11"/>
        <v>111</v>
      </c>
      <c r="R32" s="1115" t="s">
        <v>61</v>
      </c>
      <c r="S32" s="1116">
        <f t="shared" si="12"/>
        <v>100</v>
      </c>
      <c r="T32" s="1115" t="s">
        <v>61</v>
      </c>
      <c r="U32" s="1116">
        <f t="shared" si="13"/>
        <v>100</v>
      </c>
      <c r="V32" s="1115" t="s">
        <v>61</v>
      </c>
      <c r="W32" s="1116">
        <f t="shared" si="14"/>
        <v>100</v>
      </c>
      <c r="X32" s="1109"/>
      <c r="Y32" s="3506"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506"/>
      <c r="Q33" s="1114">
        <f t="shared" si="11"/>
        <v>111</v>
      </c>
      <c r="R33" s="1115" t="s">
        <v>61</v>
      </c>
      <c r="S33" s="1116">
        <f t="shared" si="12"/>
        <v>100</v>
      </c>
      <c r="T33" s="1115" t="s">
        <v>61</v>
      </c>
      <c r="U33" s="1116">
        <f t="shared" si="13"/>
        <v>100</v>
      </c>
      <c r="V33" s="1115" t="s">
        <v>61</v>
      </c>
      <c r="W33" s="1116">
        <f t="shared" si="14"/>
        <v>100</v>
      </c>
      <c r="X33" s="1109"/>
      <c r="Y33" s="3506"/>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506"/>
      <c r="Q34" s="1114">
        <f t="shared" si="11"/>
        <v>111</v>
      </c>
      <c r="R34" s="1115" t="s">
        <v>61</v>
      </c>
      <c r="S34" s="1116">
        <f t="shared" si="12"/>
        <v>100</v>
      </c>
      <c r="T34" s="1115" t="s">
        <v>61</v>
      </c>
      <c r="U34" s="1116">
        <f t="shared" si="13"/>
        <v>100</v>
      </c>
      <c r="V34" s="1115" t="s">
        <v>61</v>
      </c>
      <c r="W34" s="1116">
        <f t="shared" si="14"/>
        <v>100</v>
      </c>
      <c r="X34" s="1109"/>
      <c r="Y34" s="3506"/>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75" t="str">
        <f>A35</f>
        <v>成交单价（元/平方米）</v>
      </c>
      <c r="Q35" s="3475"/>
      <c r="R35" s="3507">
        <f>E35</f>
        <v>0</v>
      </c>
      <c r="S35" s="3507"/>
      <c r="T35" s="3507">
        <f>G35</f>
        <v>0</v>
      </c>
      <c r="U35" s="3507"/>
      <c r="V35" s="3507">
        <f>I35</f>
        <v>0</v>
      </c>
      <c r="W35" s="3507"/>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75" t="str">
        <f>A36</f>
        <v>比较价值（元/平方米）</v>
      </c>
      <c r="Q36" s="3475"/>
      <c r="R36" s="3507" t="e">
        <f>IF(E1="售价",ROUND(PRODUCT(R35,AA7:AA34),0),ROUND(PRODUCT(R35,AA7:AA34),1))</f>
        <v>#DIV/0!</v>
      </c>
      <c r="S36" s="3507"/>
      <c r="T36" s="3507" t="e">
        <f>IF(E1="售价",ROUND(PRODUCT(T35,AB7:AB34),0),ROUND(PRODUCT(T35,AB7:AB34),1))</f>
        <v>#DIV/0!</v>
      </c>
      <c r="U36" s="3507"/>
      <c r="V36" s="3507" t="e">
        <f>IF(E1="售价",ROUND(PRODUCT(V35,AC7:AC34),0),ROUND(PRODUCT(V35,AC7:AC34),1))</f>
        <v>#DIV/0!</v>
      </c>
      <c r="W36" s="3507"/>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508" t="str">
        <f>A37</f>
        <v>估价对象XX用房的比较价值（楼面单价，元/平方米）</v>
      </c>
      <c r="Q37" s="3509"/>
      <c r="R37" s="3510" t="e">
        <f>IF(E1="售价",ROUND(AVERAGE(R36:V36),0),ROUND(AVERAGE(R36:V36),1))</f>
        <v>#DIV/0!</v>
      </c>
      <c r="S37" s="3510"/>
      <c r="T37" s="3510"/>
      <c r="U37" s="3510"/>
      <c r="V37" s="3510"/>
      <c r="W37" s="3510"/>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2017-8</v>
      </c>
      <c r="D46" s="2806">
        <f>EDATE(C46,-1)</f>
        <v>42917</v>
      </c>
      <c r="E46" s="2806">
        <f t="shared" ref="E46:O46" si="16">EDATE(D46,-1)</f>
        <v>42887</v>
      </c>
      <c r="F46" s="2806">
        <f t="shared" si="16"/>
        <v>42856</v>
      </c>
      <c r="G46" s="2806">
        <f t="shared" si="16"/>
        <v>42826</v>
      </c>
      <c r="H46" s="2806">
        <f t="shared" si="16"/>
        <v>42795</v>
      </c>
      <c r="I46" s="2806">
        <f t="shared" si="16"/>
        <v>42767</v>
      </c>
      <c r="J46" s="2806">
        <f t="shared" si="16"/>
        <v>42736</v>
      </c>
      <c r="K46" s="2806">
        <f t="shared" si="16"/>
        <v>42705</v>
      </c>
      <c r="L46" s="2806">
        <f t="shared" si="16"/>
        <v>42675</v>
      </c>
      <c r="M46" s="2806">
        <f t="shared" si="16"/>
        <v>42644</v>
      </c>
      <c r="N46" s="2806">
        <f t="shared" si="16"/>
        <v>42614</v>
      </c>
      <c r="O46" s="2806">
        <f t="shared" si="16"/>
        <v>42583</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83" t="s">
        <v>405</v>
      </c>
      <c r="D4" s="3484"/>
      <c r="E4" s="3485" t="s">
        <v>406</v>
      </c>
      <c r="F4" s="3486"/>
      <c r="G4" s="3483" t="s">
        <v>407</v>
      </c>
      <c r="H4" s="3484"/>
      <c r="I4" s="3483" t="s">
        <v>408</v>
      </c>
      <c r="J4" s="3484"/>
      <c r="K4" s="812" t="s">
        <v>409</v>
      </c>
      <c r="L4" s="2206"/>
      <c r="M4" s="2207"/>
      <c r="N4" s="2207"/>
      <c r="O4" s="2207"/>
      <c r="P4" s="3487" t="s">
        <v>410</v>
      </c>
      <c r="Q4" s="3488"/>
      <c r="R4" s="3493" t="s">
        <v>406</v>
      </c>
      <c r="S4" s="3494"/>
      <c r="T4" s="3493" t="s">
        <v>407</v>
      </c>
      <c r="U4" s="3494"/>
      <c r="V4" s="3499" t="s">
        <v>408</v>
      </c>
      <c r="W4" s="3499"/>
      <c r="X4" s="1109"/>
      <c r="Y4" s="3493" t="s">
        <v>410</v>
      </c>
      <c r="Z4" s="3494"/>
      <c r="AA4" s="3480" t="s">
        <v>406</v>
      </c>
      <c r="AB4" s="3481" t="s">
        <v>407</v>
      </c>
      <c r="AC4" s="3480" t="s">
        <v>408</v>
      </c>
    </row>
    <row r="5" spans="1:30" ht="15">
      <c r="A5" s="601"/>
      <c r="B5" s="602"/>
      <c r="C5" s="3459" t="s">
        <v>1036</v>
      </c>
      <c r="D5" s="3460"/>
      <c r="E5" s="3461" t="s">
        <v>1037</v>
      </c>
      <c r="F5" s="3462"/>
      <c r="G5" s="3459" t="s">
        <v>1040</v>
      </c>
      <c r="H5" s="3460"/>
      <c r="I5" s="3459" t="s">
        <v>1038</v>
      </c>
      <c r="J5" s="3460"/>
      <c r="K5" s="812"/>
      <c r="L5" s="2206"/>
      <c r="M5" s="2207"/>
      <c r="N5" s="2207"/>
      <c r="O5" s="2207"/>
      <c r="P5" s="3489"/>
      <c r="Q5" s="3490"/>
      <c r="R5" s="3495"/>
      <c r="S5" s="3496"/>
      <c r="T5" s="3495"/>
      <c r="U5" s="3496"/>
      <c r="V5" s="3499"/>
      <c r="W5" s="3499"/>
      <c r="X5" s="1109"/>
      <c r="Y5" s="3495"/>
      <c r="Z5" s="3496"/>
      <c r="AA5" s="3481"/>
      <c r="AB5" s="3481"/>
      <c r="AC5" s="3481"/>
    </row>
    <row r="6" spans="1:30" ht="15.75" thickBot="1">
      <c r="A6" s="603"/>
      <c r="B6" s="604"/>
      <c r="C6" s="3435" t="s">
        <v>1039</v>
      </c>
      <c r="D6" s="3436"/>
      <c r="E6" s="3437" t="s">
        <v>1039</v>
      </c>
      <c r="F6" s="3438"/>
      <c r="G6" s="3435" t="s">
        <v>1039</v>
      </c>
      <c r="H6" s="3436"/>
      <c r="I6" s="3435" t="s">
        <v>1039</v>
      </c>
      <c r="J6" s="3436"/>
      <c r="K6" s="812" t="s">
        <v>411</v>
      </c>
      <c r="L6" s="2206"/>
      <c r="M6" s="2207"/>
      <c r="N6" s="2207"/>
      <c r="O6" s="2207"/>
      <c r="P6" s="3491"/>
      <c r="Q6" s="3492"/>
      <c r="R6" s="3495"/>
      <c r="S6" s="3496"/>
      <c r="T6" s="3497"/>
      <c r="U6" s="3498"/>
      <c r="V6" s="3499"/>
      <c r="W6" s="3499"/>
      <c r="X6" s="1109"/>
      <c r="Y6" s="3497"/>
      <c r="Z6" s="3498"/>
      <c r="AA6" s="3482"/>
      <c r="AB6" s="3482"/>
      <c r="AC6" s="3482"/>
    </row>
    <row r="7" spans="1:30" s="218" customFormat="1" ht="15.75" thickBot="1">
      <c r="A7" s="605" t="s">
        <v>412</v>
      </c>
      <c r="B7" s="606"/>
      <c r="C7" s="607">
        <f>'数据-取费表'!B2</f>
        <v>42969</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8" t="s">
        <v>413</v>
      </c>
      <c r="Q7" s="3502"/>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75" t="s">
        <v>416</v>
      </c>
      <c r="Q9" s="192" t="str">
        <f t="shared" ref="Q9:Q15" si="6">B9</f>
        <v>用途</v>
      </c>
      <c r="R9" s="1110" t="s">
        <v>61</v>
      </c>
      <c r="S9" s="1111">
        <f t="shared" si="0"/>
        <v>100</v>
      </c>
      <c r="T9" s="1110" t="s">
        <v>61</v>
      </c>
      <c r="U9" s="1111">
        <f t="shared" si="1"/>
        <v>100</v>
      </c>
      <c r="V9" s="1110" t="s">
        <v>61</v>
      </c>
      <c r="W9" s="1111">
        <f t="shared" si="2"/>
        <v>100</v>
      </c>
      <c r="X9" s="1112"/>
      <c r="Y9" s="3307"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101</v>
      </c>
      <c r="G10" s="662"/>
      <c r="H10" s="235">
        <f>ROUND(100/'数据-取费表'!B14,0)</f>
        <v>101</v>
      </c>
      <c r="I10" s="662"/>
      <c r="J10" s="235">
        <f>ROUND(100/'数据-取费表'!B14,0)</f>
        <v>101</v>
      </c>
      <c r="K10" s="943"/>
      <c r="L10" s="2211"/>
      <c r="M10" s="2212"/>
      <c r="N10" s="2212"/>
      <c r="O10" s="2213"/>
      <c r="P10" s="3475"/>
      <c r="Q10" s="192" t="str">
        <f t="shared" si="6"/>
        <v>土地使用年限（年）</v>
      </c>
      <c r="R10" s="1110" t="s">
        <v>61</v>
      </c>
      <c r="S10" s="1111">
        <f t="shared" si="0"/>
        <v>101</v>
      </c>
      <c r="T10" s="1110" t="s">
        <v>61</v>
      </c>
      <c r="U10" s="1111">
        <f t="shared" si="1"/>
        <v>101</v>
      </c>
      <c r="V10" s="1110" t="s">
        <v>61</v>
      </c>
      <c r="W10" s="1111">
        <f t="shared" si="2"/>
        <v>101</v>
      </c>
      <c r="X10" s="1112"/>
      <c r="Y10" s="3307"/>
      <c r="Z10" s="206" t="str">
        <f t="shared" si="7"/>
        <v>土地使用年限（年）</v>
      </c>
      <c r="AA10" s="1113">
        <f t="shared" si="3"/>
        <v>0.99009900990099009</v>
      </c>
      <c r="AB10" s="1113">
        <f t="shared" si="4"/>
        <v>0.99009900990099009</v>
      </c>
      <c r="AC10" s="1113">
        <f t="shared" si="5"/>
        <v>0.99009900990099009</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75"/>
      <c r="Q11" s="192" t="str">
        <f t="shared" si="6"/>
        <v>容积率</v>
      </c>
      <c r="R11" s="1110" t="s">
        <v>61</v>
      </c>
      <c r="S11" s="1111" t="e">
        <f t="shared" si="0"/>
        <v>#N/A</v>
      </c>
      <c r="T11" s="1110" t="s">
        <v>61</v>
      </c>
      <c r="U11" s="1111" t="e">
        <f t="shared" si="1"/>
        <v>#N/A</v>
      </c>
      <c r="V11" s="1110" t="s">
        <v>61</v>
      </c>
      <c r="W11" s="1111" t="e">
        <f t="shared" si="2"/>
        <v>#N/A</v>
      </c>
      <c r="X11" s="1112"/>
      <c r="Y11" s="3307"/>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75"/>
      <c r="Q12" s="192" t="str">
        <f t="shared" si="6"/>
        <v>配建</v>
      </c>
      <c r="R12" s="1110" t="s">
        <v>61</v>
      </c>
      <c r="S12" s="1111">
        <f t="shared" si="0"/>
        <v>100</v>
      </c>
      <c r="T12" s="1110" t="s">
        <v>61</v>
      </c>
      <c r="U12" s="1111">
        <f t="shared" si="1"/>
        <v>100</v>
      </c>
      <c r="V12" s="1110" t="s">
        <v>61</v>
      </c>
      <c r="W12" s="1111">
        <f t="shared" si="2"/>
        <v>100</v>
      </c>
      <c r="X12" s="1112"/>
      <c r="Y12" s="3307"/>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75"/>
      <c r="Q13" s="192">
        <f t="shared" si="6"/>
        <v>111</v>
      </c>
      <c r="R13" s="1110" t="s">
        <v>61</v>
      </c>
      <c r="S13" s="1111">
        <f t="shared" si="0"/>
        <v>100</v>
      </c>
      <c r="T13" s="1110" t="s">
        <v>61</v>
      </c>
      <c r="U13" s="1111">
        <f t="shared" si="1"/>
        <v>100</v>
      </c>
      <c r="V13" s="1110" t="s">
        <v>61</v>
      </c>
      <c r="W13" s="1111">
        <f t="shared" si="2"/>
        <v>100</v>
      </c>
      <c r="X13" s="1112"/>
      <c r="Y13" s="3307"/>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75"/>
      <c r="Q14" s="192">
        <f t="shared" si="6"/>
        <v>111</v>
      </c>
      <c r="R14" s="1110" t="s">
        <v>61</v>
      </c>
      <c r="S14" s="1111">
        <f t="shared" si="0"/>
        <v>100</v>
      </c>
      <c r="T14" s="1110" t="s">
        <v>61</v>
      </c>
      <c r="U14" s="1111">
        <f t="shared" si="1"/>
        <v>100</v>
      </c>
      <c r="V14" s="1110" t="s">
        <v>61</v>
      </c>
      <c r="W14" s="1111">
        <f t="shared" si="2"/>
        <v>100</v>
      </c>
      <c r="X14" s="1112"/>
      <c r="Y14" s="3307"/>
      <c r="Z14" s="206">
        <f t="shared" si="7"/>
        <v>111</v>
      </c>
      <c r="AA14" s="1113">
        <f>D14/F14</f>
        <v>1</v>
      </c>
      <c r="AB14" s="1113">
        <f>D14/H14</f>
        <v>1</v>
      </c>
      <c r="AC14" s="1113">
        <f>D14/J14</f>
        <v>1</v>
      </c>
    </row>
    <row r="15" spans="1:30" ht="108">
      <c r="A15" s="598" t="s">
        <v>420</v>
      </c>
      <c r="B15" s="2581" t="s">
        <v>299</v>
      </c>
      <c r="C15" s="160" t="str">
        <f>估价对象房地状况!C15</f>
        <v>估价对象周边有天佑爱上岛、燕达首尔国际村、壹克拉公寓等住宅小区，综合评价居住社区成熟度一般</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503" t="s">
        <v>421</v>
      </c>
      <c r="Q15" s="1114" t="str">
        <f t="shared" si="6"/>
        <v>居住社区成熟度</v>
      </c>
      <c r="R15" s="1115" t="s">
        <v>61</v>
      </c>
      <c r="S15" s="1116">
        <f t="shared" si="0"/>
        <v>100</v>
      </c>
      <c r="T15" s="1115" t="s">
        <v>61</v>
      </c>
      <c r="U15" s="1116">
        <f t="shared" si="1"/>
        <v>100</v>
      </c>
      <c r="V15" s="1115" t="s">
        <v>61</v>
      </c>
      <c r="W15" s="1116">
        <f t="shared" si="2"/>
        <v>100</v>
      </c>
      <c r="X15" s="1109"/>
      <c r="Y15" s="3503"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504"/>
      <c r="Q16" s="1114"/>
      <c r="R16" s="1115"/>
      <c r="S16" s="1116"/>
      <c r="T16" s="1115"/>
      <c r="U16" s="1116"/>
      <c r="V16" s="1115"/>
      <c r="W16" s="1116"/>
      <c r="X16" s="1109"/>
      <c r="Y16" s="3504"/>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504"/>
      <c r="Q17" s="1114" t="str">
        <f>B17</f>
        <v>商业繁华度</v>
      </c>
      <c r="R17" s="1115" t="s">
        <v>61</v>
      </c>
      <c r="S17" s="1116">
        <f>F17</f>
        <v>100</v>
      </c>
      <c r="T17" s="1115" t="s">
        <v>61</v>
      </c>
      <c r="U17" s="1116">
        <f>H17</f>
        <v>100</v>
      </c>
      <c r="V17" s="1115" t="s">
        <v>61</v>
      </c>
      <c r="W17" s="1116">
        <f>J17</f>
        <v>100</v>
      </c>
      <c r="X17" s="1109"/>
      <c r="Y17" s="3504"/>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504"/>
      <c r="Q18" s="1114"/>
      <c r="R18" s="1115"/>
      <c r="S18" s="1116"/>
      <c r="T18" s="1115"/>
      <c r="U18" s="1116"/>
      <c r="V18" s="1115"/>
      <c r="W18" s="1116"/>
      <c r="X18" s="1109"/>
      <c r="Y18" s="3504"/>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504"/>
      <c r="Q19" s="1114" t="str">
        <f>B19</f>
        <v>办公集聚程度</v>
      </c>
      <c r="R19" s="1115" t="s">
        <v>61</v>
      </c>
      <c r="S19" s="1116">
        <f>F19</f>
        <v>100</v>
      </c>
      <c r="T19" s="1115" t="s">
        <v>61</v>
      </c>
      <c r="U19" s="1116">
        <f>H19</f>
        <v>100</v>
      </c>
      <c r="V19" s="1115" t="s">
        <v>61</v>
      </c>
      <c r="W19" s="1116">
        <f>J19</f>
        <v>100</v>
      </c>
      <c r="X19" s="1109"/>
      <c r="Y19" s="3504"/>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504"/>
      <c r="Q20" s="1114"/>
      <c r="R20" s="1115"/>
      <c r="S20" s="1116"/>
      <c r="T20" s="1115"/>
      <c r="U20" s="1116"/>
      <c r="V20" s="1115"/>
      <c r="W20" s="1116"/>
      <c r="X20" s="1109"/>
      <c r="Y20" s="3504"/>
      <c r="Z20" s="1117"/>
      <c r="AA20" s="1118">
        <v>1</v>
      </c>
      <c r="AB20" s="1118">
        <v>1</v>
      </c>
      <c r="AC20" s="1118">
        <v>1</v>
      </c>
    </row>
    <row r="21" spans="1:29" ht="135">
      <c r="A21" s="601"/>
      <c r="B21" s="2583" t="s">
        <v>468</v>
      </c>
      <c r="C21" s="162" t="str">
        <f>估价对象房地状况!C18</f>
        <v>以估价对象为中心半径2公里范围内最高级别道路为城市次干道——燕灵路，有快速直达专线61路，综合评价交通便捷度一般</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504"/>
      <c r="Q21" s="1114" t="str">
        <f>B21</f>
        <v>交通便捷度</v>
      </c>
      <c r="R21" s="1115" t="s">
        <v>61</v>
      </c>
      <c r="S21" s="1116">
        <f>F21</f>
        <v>100</v>
      </c>
      <c r="T21" s="1115" t="s">
        <v>61</v>
      </c>
      <c r="U21" s="1116">
        <f>H21</f>
        <v>100</v>
      </c>
      <c r="V21" s="1115" t="s">
        <v>61</v>
      </c>
      <c r="W21" s="1116">
        <f>J21</f>
        <v>100</v>
      </c>
      <c r="X21" s="1109"/>
      <c r="Y21" s="3504"/>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504"/>
      <c r="Q22" s="1114"/>
      <c r="R22" s="1115"/>
      <c r="S22" s="1116"/>
      <c r="T22" s="1115"/>
      <c r="U22" s="1116"/>
      <c r="V22" s="1115"/>
      <c r="W22" s="1116"/>
      <c r="X22" s="1109"/>
      <c r="Y22" s="3504"/>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504"/>
      <c r="Q23" s="1114" t="str">
        <f t="shared" ref="Q23:Q37" si="8">B23</f>
        <v>区域土地利用方向</v>
      </c>
      <c r="R23" s="1115" t="s">
        <v>61</v>
      </c>
      <c r="S23" s="1116">
        <f>F23</f>
        <v>100</v>
      </c>
      <c r="T23" s="1115" t="s">
        <v>61</v>
      </c>
      <c r="U23" s="1116">
        <f>H23</f>
        <v>100</v>
      </c>
      <c r="V23" s="1115" t="s">
        <v>61</v>
      </c>
      <c r="W23" s="1116">
        <f>J23</f>
        <v>100</v>
      </c>
      <c r="X23" s="1109"/>
      <c r="Y23" s="3504"/>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504"/>
      <c r="Q24" s="1282"/>
      <c r="R24" s="1115"/>
      <c r="S24" s="1116"/>
      <c r="T24" s="1115"/>
      <c r="U24" s="1116"/>
      <c r="V24" s="1115"/>
      <c r="W24" s="1116"/>
      <c r="X24" s="1281"/>
      <c r="Y24" s="3504"/>
      <c r="Z24" s="1283"/>
      <c r="AA24" s="1118"/>
      <c r="AB24" s="1118"/>
      <c r="AC24" s="1118"/>
    </row>
    <row r="25" spans="1:29" ht="121.5">
      <c r="A25" s="601"/>
      <c r="B25" s="2585" t="s">
        <v>496</v>
      </c>
      <c r="C25" s="166" t="str">
        <f>估价对象房地状况!C20</f>
        <v>区域自然环境：燕郊滨河森林公园东区、燕郊植物园等；人文环境：燕京理工学院；综合评价环境状况较好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504"/>
      <c r="Q25" s="1114" t="str">
        <f t="shared" si="8"/>
        <v>自然及人文环境状况</v>
      </c>
      <c r="R25" s="1115" t="s">
        <v>61</v>
      </c>
      <c r="S25" s="1116">
        <f>F25</f>
        <v>100</v>
      </c>
      <c r="T25" s="1115" t="s">
        <v>61</v>
      </c>
      <c r="U25" s="1116">
        <f>H25</f>
        <v>100</v>
      </c>
      <c r="V25" s="1115" t="s">
        <v>61</v>
      </c>
      <c r="W25" s="1116">
        <f>J25</f>
        <v>100</v>
      </c>
      <c r="X25" s="1109"/>
      <c r="Y25" s="3504"/>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504"/>
      <c r="Q26" s="1114"/>
      <c r="R26" s="1115"/>
      <c r="S26" s="1116"/>
      <c r="T26" s="1115"/>
      <c r="U26" s="1116"/>
      <c r="V26" s="1115"/>
      <c r="W26" s="1116"/>
      <c r="X26" s="1109"/>
      <c r="Y26" s="3504"/>
      <c r="Z26" s="1117"/>
      <c r="AA26" s="1118">
        <v>1</v>
      </c>
      <c r="AB26" s="1118">
        <v>1</v>
      </c>
      <c r="AC26" s="1118">
        <v>1</v>
      </c>
    </row>
    <row r="27" spans="1:29" ht="54">
      <c r="A27" s="601"/>
      <c r="B27" s="2588" t="s">
        <v>2549</v>
      </c>
      <c r="C27" s="162" t="str">
        <f>估价对象房地状况!C21</f>
        <v>估价对象所在区域公共配套设施成熟度一般</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504"/>
      <c r="Q27" s="2547" t="str">
        <f t="shared" ref="Q27" si="9">B27</f>
        <v>公共配套设施</v>
      </c>
      <c r="R27" s="1110" t="s">
        <v>61</v>
      </c>
      <c r="S27" s="1111">
        <f>F27</f>
        <v>100</v>
      </c>
      <c r="T27" s="1110" t="s">
        <v>61</v>
      </c>
      <c r="U27" s="1111">
        <f>H27</f>
        <v>100</v>
      </c>
      <c r="V27" s="1110" t="s">
        <v>61</v>
      </c>
      <c r="W27" s="1111">
        <f>J27</f>
        <v>100</v>
      </c>
      <c r="X27" s="2552"/>
      <c r="Y27" s="3504"/>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504"/>
      <c r="Q28" s="2551"/>
      <c r="R28" s="1115"/>
      <c r="S28" s="1116"/>
      <c r="T28" s="1115"/>
      <c r="U28" s="1116"/>
      <c r="V28" s="1115"/>
      <c r="W28" s="1116"/>
      <c r="X28" s="2552"/>
      <c r="Y28" s="3504"/>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504"/>
      <c r="Q29" s="192" t="str">
        <f t="shared" si="8"/>
        <v>基础设施水平</v>
      </c>
      <c r="R29" s="1110" t="s">
        <v>61</v>
      </c>
      <c r="S29" s="1111">
        <f>F29</f>
        <v>100</v>
      </c>
      <c r="T29" s="1110" t="s">
        <v>61</v>
      </c>
      <c r="U29" s="1111">
        <f>H29</f>
        <v>100</v>
      </c>
      <c r="V29" s="1110" t="s">
        <v>61</v>
      </c>
      <c r="W29" s="1111">
        <f>J29</f>
        <v>100</v>
      </c>
      <c r="X29" s="1112"/>
      <c r="Y29" s="3504"/>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504"/>
      <c r="Q30" s="192"/>
      <c r="R30" s="1110"/>
      <c r="S30" s="1111"/>
      <c r="T30" s="1110"/>
      <c r="U30" s="1111"/>
      <c r="V30" s="1110"/>
      <c r="W30" s="1111"/>
      <c r="X30" s="1112"/>
      <c r="Y30" s="3504"/>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504"/>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04"/>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504"/>
      <c r="Q32" s="1114" t="str">
        <f t="shared" si="8"/>
        <v>毗邻道路的类型与等级</v>
      </c>
      <c r="R32" s="1115" t="s">
        <v>61</v>
      </c>
      <c r="S32" s="1116">
        <f t="shared" si="10"/>
        <v>100</v>
      </c>
      <c r="T32" s="1115" t="s">
        <v>61</v>
      </c>
      <c r="U32" s="1116">
        <f t="shared" si="11"/>
        <v>100</v>
      </c>
      <c r="V32" s="1115" t="s">
        <v>61</v>
      </c>
      <c r="W32" s="1116">
        <f t="shared" si="12"/>
        <v>100</v>
      </c>
      <c r="X32" s="1109"/>
      <c r="Y32" s="3504"/>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504"/>
      <c r="Q33" s="1114"/>
      <c r="R33" s="1115"/>
      <c r="S33" s="1116"/>
      <c r="T33" s="1115"/>
      <c r="U33" s="1116"/>
      <c r="V33" s="1115"/>
      <c r="W33" s="1116"/>
      <c r="X33" s="1109"/>
      <c r="Y33" s="3504"/>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504"/>
      <c r="Q34" s="1114" t="str">
        <f t="shared" si="8"/>
        <v>土地级别</v>
      </c>
      <c r="R34" s="1115" t="s">
        <v>61</v>
      </c>
      <c r="S34" s="1116">
        <f t="shared" si="10"/>
        <v>100</v>
      </c>
      <c r="T34" s="1115" t="s">
        <v>61</v>
      </c>
      <c r="U34" s="1116">
        <f t="shared" si="11"/>
        <v>100</v>
      </c>
      <c r="V34" s="1115" t="s">
        <v>61</v>
      </c>
      <c r="W34" s="1116">
        <f t="shared" si="12"/>
        <v>100</v>
      </c>
      <c r="X34" s="1109"/>
      <c r="Y34" s="3504"/>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504"/>
      <c r="Q35" s="1114">
        <f t="shared" si="8"/>
        <v>111</v>
      </c>
      <c r="R35" s="1115" t="s">
        <v>61</v>
      </c>
      <c r="S35" s="1116">
        <f t="shared" si="10"/>
        <v>100</v>
      </c>
      <c r="T35" s="1115" t="s">
        <v>61</v>
      </c>
      <c r="U35" s="1116">
        <f t="shared" si="11"/>
        <v>100</v>
      </c>
      <c r="V35" s="1115" t="s">
        <v>61</v>
      </c>
      <c r="W35" s="1116">
        <f t="shared" si="12"/>
        <v>100</v>
      </c>
      <c r="X35" s="1109"/>
      <c r="Y35" s="3504"/>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505" t="s">
        <v>423</v>
      </c>
      <c r="Q36" s="1114">
        <f t="shared" si="8"/>
        <v>111</v>
      </c>
      <c r="R36" s="1115" t="s">
        <v>61</v>
      </c>
      <c r="S36" s="1116">
        <f t="shared" si="10"/>
        <v>100</v>
      </c>
      <c r="T36" s="1115" t="s">
        <v>61</v>
      </c>
      <c r="U36" s="1116">
        <f t="shared" si="11"/>
        <v>100</v>
      </c>
      <c r="V36" s="1115" t="s">
        <v>61</v>
      </c>
      <c r="W36" s="1116">
        <f t="shared" si="12"/>
        <v>100</v>
      </c>
      <c r="X36" s="1109"/>
      <c r="Y36" s="3506"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506"/>
      <c r="Q37" s="1114">
        <f t="shared" si="8"/>
        <v>111</v>
      </c>
      <c r="R37" s="1120" t="s">
        <v>61</v>
      </c>
      <c r="S37" s="1121">
        <f t="shared" si="10"/>
        <v>100</v>
      </c>
      <c r="T37" s="1120" t="s">
        <v>61</v>
      </c>
      <c r="U37" s="1121">
        <f t="shared" si="11"/>
        <v>100</v>
      </c>
      <c r="V37" s="1120" t="s">
        <v>61</v>
      </c>
      <c r="W37" s="1121">
        <f t="shared" si="12"/>
        <v>100</v>
      </c>
      <c r="X37" s="1122"/>
      <c r="Y37" s="3506"/>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506"/>
      <c r="Q38" s="1114" t="str">
        <f>B38</f>
        <v>宗地面积</v>
      </c>
      <c r="R38" s="1115" t="s">
        <v>61</v>
      </c>
      <c r="S38" s="1116" t="e">
        <f t="shared" si="10"/>
        <v>#N/A</v>
      </c>
      <c r="T38" s="1115" t="s">
        <v>61</v>
      </c>
      <c r="U38" s="1116" t="e">
        <f t="shared" si="11"/>
        <v>#N/A</v>
      </c>
      <c r="V38" s="1115" t="s">
        <v>61</v>
      </c>
      <c r="W38" s="1116" t="e">
        <f t="shared" si="12"/>
        <v>#N/A</v>
      </c>
      <c r="X38" s="1109"/>
      <c r="Y38" s="3506"/>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506"/>
      <c r="Q39" s="1114" t="str">
        <f t="shared" ref="Q39:Q45" si="14">B39</f>
        <v>宗地形状</v>
      </c>
      <c r="R39" s="1115" t="s">
        <v>61</v>
      </c>
      <c r="S39" s="1116">
        <f t="shared" si="10"/>
        <v>100</v>
      </c>
      <c r="T39" s="1115" t="s">
        <v>61</v>
      </c>
      <c r="U39" s="1116">
        <f t="shared" si="11"/>
        <v>100</v>
      </c>
      <c r="V39" s="1115" t="s">
        <v>61</v>
      </c>
      <c r="W39" s="1116">
        <f t="shared" si="12"/>
        <v>100</v>
      </c>
      <c r="X39" s="1109"/>
      <c r="Y39" s="3506"/>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506"/>
      <c r="Q40" s="1114" t="str">
        <f t="shared" si="14"/>
        <v>临街宽度及深度</v>
      </c>
      <c r="R40" s="1115" t="s">
        <v>61</v>
      </c>
      <c r="S40" s="1116">
        <f t="shared" si="10"/>
        <v>100</v>
      </c>
      <c r="T40" s="1115" t="s">
        <v>61</v>
      </c>
      <c r="U40" s="1116">
        <f t="shared" si="11"/>
        <v>100</v>
      </c>
      <c r="V40" s="1115" t="s">
        <v>61</v>
      </c>
      <c r="W40" s="1116">
        <f t="shared" si="12"/>
        <v>100</v>
      </c>
      <c r="X40" s="1109"/>
      <c r="Y40" s="3506"/>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506"/>
      <c r="Q41" s="1114" t="str">
        <f t="shared" si="14"/>
        <v>宗地开发程度</v>
      </c>
      <c r="R41" s="1110" t="s">
        <v>61</v>
      </c>
      <c r="S41" s="1111">
        <f t="shared" si="10"/>
        <v>100</v>
      </c>
      <c r="T41" s="1110" t="s">
        <v>61</v>
      </c>
      <c r="U41" s="1111">
        <f t="shared" si="11"/>
        <v>100</v>
      </c>
      <c r="V41" s="1110" t="s">
        <v>61</v>
      </c>
      <c r="W41" s="1111">
        <f t="shared" si="12"/>
        <v>100</v>
      </c>
      <c r="X41" s="1112"/>
      <c r="Y41" s="3506"/>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506" t="s">
        <v>423</v>
      </c>
      <c r="Q42" s="1114" t="str">
        <f t="shared" si="14"/>
        <v>工程地质条件</v>
      </c>
      <c r="R42" s="1115" t="s">
        <v>61</v>
      </c>
      <c r="S42" s="1116">
        <f t="shared" si="10"/>
        <v>100</v>
      </c>
      <c r="T42" s="1115" t="s">
        <v>61</v>
      </c>
      <c r="U42" s="1116">
        <f t="shared" si="11"/>
        <v>100</v>
      </c>
      <c r="V42" s="1115" t="s">
        <v>61</v>
      </c>
      <c r="W42" s="1116">
        <f t="shared" si="12"/>
        <v>100</v>
      </c>
      <c r="X42" s="1109"/>
      <c r="Y42" s="3506"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506"/>
      <c r="Q43" s="1114">
        <f t="shared" si="14"/>
        <v>111</v>
      </c>
      <c r="R43" s="1115" t="s">
        <v>61</v>
      </c>
      <c r="S43" s="1116">
        <f t="shared" si="10"/>
        <v>100</v>
      </c>
      <c r="T43" s="1115" t="s">
        <v>61</v>
      </c>
      <c r="U43" s="1116">
        <f t="shared" si="11"/>
        <v>100</v>
      </c>
      <c r="V43" s="1115" t="s">
        <v>61</v>
      </c>
      <c r="W43" s="1116">
        <f t="shared" si="12"/>
        <v>100</v>
      </c>
      <c r="X43" s="1109"/>
      <c r="Y43" s="3506"/>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506"/>
      <c r="Q44" s="1114">
        <f t="shared" si="14"/>
        <v>111</v>
      </c>
      <c r="R44" s="1115" t="s">
        <v>61</v>
      </c>
      <c r="S44" s="1116">
        <f t="shared" si="10"/>
        <v>100</v>
      </c>
      <c r="T44" s="1115" t="s">
        <v>61</v>
      </c>
      <c r="U44" s="1116">
        <f t="shared" si="11"/>
        <v>100</v>
      </c>
      <c r="V44" s="1115" t="s">
        <v>61</v>
      </c>
      <c r="W44" s="1116">
        <f t="shared" si="12"/>
        <v>100</v>
      </c>
      <c r="X44" s="1109"/>
      <c r="Y44" s="3506"/>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506"/>
      <c r="Q45" s="1114">
        <f t="shared" si="14"/>
        <v>111</v>
      </c>
      <c r="R45" s="1120" t="s">
        <v>61</v>
      </c>
      <c r="S45" s="1121">
        <f t="shared" si="10"/>
        <v>100</v>
      </c>
      <c r="T45" s="1120" t="s">
        <v>61</v>
      </c>
      <c r="U45" s="1121">
        <f t="shared" si="11"/>
        <v>100</v>
      </c>
      <c r="V45" s="1120" t="s">
        <v>61</v>
      </c>
      <c r="W45" s="1121">
        <f t="shared" si="12"/>
        <v>100</v>
      </c>
      <c r="X45" s="1122"/>
      <c r="Y45" s="3506"/>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75" t="str">
        <f>A46</f>
        <v>成交单价</v>
      </c>
      <c r="Q46" s="3475"/>
      <c r="R46" s="3499">
        <f>E46</f>
        <v>0</v>
      </c>
      <c r="S46" s="3499"/>
      <c r="T46" s="3499">
        <f>G46</f>
        <v>0</v>
      </c>
      <c r="U46" s="3499"/>
      <c r="V46" s="3499">
        <f>I46</f>
        <v>0</v>
      </c>
      <c r="W46" s="3499"/>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75" t="str">
        <f>A47</f>
        <v>比较价值（元/平方米）</v>
      </c>
      <c r="Q47" s="3475"/>
      <c r="R47" s="3511" t="e">
        <f>ROUND(PRODUCT(R46,AA7:AA45),0)</f>
        <v>#DIV/0!</v>
      </c>
      <c r="S47" s="3511"/>
      <c r="T47" s="3511" t="e">
        <f>ROUND(PRODUCT(T46,AB7:AB45),0)</f>
        <v>#DIV/0!</v>
      </c>
      <c r="U47" s="3511"/>
      <c r="V47" s="3511" t="e">
        <f>ROUND(PRODUCT(V46,AC7:AC45),0)</f>
        <v>#DIV/0!</v>
      </c>
      <c r="W47" s="3511"/>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508" t="str">
        <f>A48</f>
        <v>估价对象XX用房的比较价值（楼面单价，元/平方米）</v>
      </c>
      <c r="Q48" s="3509"/>
      <c r="R48" s="3512" t="e">
        <f>ROUND(AVERAGE(R47:V47),0)</f>
        <v>#DIV/0!</v>
      </c>
      <c r="S48" s="3512"/>
      <c r="T48" s="3512"/>
      <c r="U48" s="3512"/>
      <c r="V48" s="3512"/>
      <c r="W48" s="3512"/>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2017-8-1</v>
      </c>
      <c r="D68" s="2797">
        <f>EDATE(C68,-3)</f>
        <v>42856</v>
      </c>
      <c r="E68" s="2797">
        <f t="shared" ref="E68:O68" si="18">EDATE(D68,-3)</f>
        <v>42767</v>
      </c>
      <c r="F68" s="2797">
        <f t="shared" si="18"/>
        <v>42675</v>
      </c>
      <c r="G68" s="2797">
        <f t="shared" si="18"/>
        <v>42583</v>
      </c>
      <c r="H68" s="2797">
        <f t="shared" si="18"/>
        <v>42491</v>
      </c>
      <c r="I68" s="2797">
        <f t="shared" si="18"/>
        <v>42401</v>
      </c>
      <c r="J68" s="2797">
        <f t="shared" si="18"/>
        <v>42309</v>
      </c>
      <c r="K68" s="2797">
        <f t="shared" si="18"/>
        <v>42217</v>
      </c>
      <c r="L68" s="2797">
        <f t="shared" si="18"/>
        <v>42125</v>
      </c>
      <c r="M68" s="2797">
        <f t="shared" si="18"/>
        <v>42036</v>
      </c>
      <c r="N68" s="2797">
        <f t="shared" si="18"/>
        <v>41944</v>
      </c>
      <c r="O68" s="2797">
        <f t="shared" si="18"/>
        <v>41852</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估价对象为北京市房地产，为所有。根据《不动产权证书》[]，估价对象建筑面积为80.09平方米，（分摊）出让国有建设用地使用权面积为平方米。估价对象用途为。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2017年8月22日（评估专业人员实地查勘之日）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本次估价的“房地产价值”是指在正常市场情况下，在价值时点2017年8月22日，估价对象规划用途为，假定未设立法定优先受偿款下的房地产市场价值。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83" t="s">
        <v>405</v>
      </c>
      <c r="D4" s="3484"/>
      <c r="E4" s="3485" t="s">
        <v>406</v>
      </c>
      <c r="F4" s="3486"/>
      <c r="G4" s="3483" t="s">
        <v>407</v>
      </c>
      <c r="H4" s="3484"/>
      <c r="I4" s="3483" t="s">
        <v>408</v>
      </c>
      <c r="J4" s="3484"/>
      <c r="K4" s="812" t="s">
        <v>409</v>
      </c>
      <c r="L4" s="2206"/>
      <c r="M4" s="2207"/>
      <c r="N4" s="2207"/>
      <c r="O4" s="2207"/>
      <c r="P4" s="3487" t="s">
        <v>410</v>
      </c>
      <c r="Q4" s="3488"/>
      <c r="R4" s="3493" t="s">
        <v>406</v>
      </c>
      <c r="S4" s="3494"/>
      <c r="T4" s="3493" t="s">
        <v>407</v>
      </c>
      <c r="U4" s="3494"/>
      <c r="V4" s="3499" t="s">
        <v>408</v>
      </c>
      <c r="W4" s="3499"/>
      <c r="X4" s="1109"/>
      <c r="Y4" s="3493" t="s">
        <v>410</v>
      </c>
      <c r="Z4" s="3494"/>
      <c r="AA4" s="3480" t="s">
        <v>406</v>
      </c>
      <c r="AB4" s="3481" t="s">
        <v>407</v>
      </c>
      <c r="AC4" s="3480" t="s">
        <v>408</v>
      </c>
    </row>
    <row r="5" spans="1:29" ht="15">
      <c r="A5" s="601"/>
      <c r="B5" s="602"/>
      <c r="C5" s="3459" t="s">
        <v>1036</v>
      </c>
      <c r="D5" s="3460"/>
      <c r="E5" s="3461" t="s">
        <v>1037</v>
      </c>
      <c r="F5" s="3462"/>
      <c r="G5" s="3459" t="s">
        <v>1040</v>
      </c>
      <c r="H5" s="3460"/>
      <c r="I5" s="3459" t="s">
        <v>1038</v>
      </c>
      <c r="J5" s="3460"/>
      <c r="K5" s="812"/>
      <c r="L5" s="2206"/>
      <c r="M5" s="2207"/>
      <c r="N5" s="2207"/>
      <c r="O5" s="2207"/>
      <c r="P5" s="3489"/>
      <c r="Q5" s="3490"/>
      <c r="R5" s="3495"/>
      <c r="S5" s="3496"/>
      <c r="T5" s="3495"/>
      <c r="U5" s="3496"/>
      <c r="V5" s="3499"/>
      <c r="W5" s="3499"/>
      <c r="X5" s="1109"/>
      <c r="Y5" s="3495"/>
      <c r="Z5" s="3496"/>
      <c r="AA5" s="3481"/>
      <c r="AB5" s="3481"/>
      <c r="AC5" s="3481"/>
    </row>
    <row r="6" spans="1:29" ht="15.75" thickBot="1">
      <c r="A6" s="603"/>
      <c r="B6" s="604"/>
      <c r="C6" s="3435" t="s">
        <v>1039</v>
      </c>
      <c r="D6" s="3436"/>
      <c r="E6" s="3437" t="s">
        <v>1039</v>
      </c>
      <c r="F6" s="3438"/>
      <c r="G6" s="3435" t="s">
        <v>1039</v>
      </c>
      <c r="H6" s="3436"/>
      <c r="I6" s="3435" t="s">
        <v>1039</v>
      </c>
      <c r="J6" s="3436"/>
      <c r="K6" s="812" t="s">
        <v>411</v>
      </c>
      <c r="L6" s="2206"/>
      <c r="M6" s="2207"/>
      <c r="N6" s="2207"/>
      <c r="O6" s="2207"/>
      <c r="P6" s="3491"/>
      <c r="Q6" s="3492"/>
      <c r="R6" s="3495"/>
      <c r="S6" s="3496"/>
      <c r="T6" s="3497"/>
      <c r="U6" s="3498"/>
      <c r="V6" s="3499"/>
      <c r="W6" s="3499"/>
      <c r="X6" s="1109"/>
      <c r="Y6" s="3497"/>
      <c r="Z6" s="3498"/>
      <c r="AA6" s="3482"/>
      <c r="AB6" s="3482"/>
      <c r="AC6" s="3482"/>
    </row>
    <row r="7" spans="1:29" s="218" customFormat="1" ht="15.75" thickBot="1">
      <c r="A7" s="605" t="s">
        <v>412</v>
      </c>
      <c r="B7" s="606"/>
      <c r="C7" s="607">
        <f>'数据-取费表'!B2</f>
        <v>42969</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8" t="s">
        <v>413</v>
      </c>
      <c r="Q7" s="3502"/>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75" t="s">
        <v>416</v>
      </c>
      <c r="Q9" s="192" t="str">
        <f t="shared" ref="Q9:Q15" si="6">B9</f>
        <v>用途</v>
      </c>
      <c r="R9" s="1110" t="s">
        <v>61</v>
      </c>
      <c r="S9" s="1111">
        <f t="shared" si="0"/>
        <v>100</v>
      </c>
      <c r="T9" s="1110" t="s">
        <v>61</v>
      </c>
      <c r="U9" s="1111">
        <f t="shared" si="1"/>
        <v>100</v>
      </c>
      <c r="V9" s="1110" t="s">
        <v>61</v>
      </c>
      <c r="W9" s="1111">
        <f t="shared" si="2"/>
        <v>100</v>
      </c>
      <c r="X9" s="1112"/>
      <c r="Y9" s="3307"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101</v>
      </c>
      <c r="G10" s="882"/>
      <c r="H10" s="235">
        <f>ROUND(100/'数据-取费表'!B14,0)</f>
        <v>101</v>
      </c>
      <c r="I10" s="882"/>
      <c r="J10" s="235">
        <f>ROUND(100/'数据-取费表'!B14,0)</f>
        <v>101</v>
      </c>
      <c r="K10" s="943"/>
      <c r="L10" s="2211"/>
      <c r="M10" s="2212"/>
      <c r="N10" s="2212"/>
      <c r="O10" s="2213"/>
      <c r="P10" s="3475"/>
      <c r="Q10" s="192" t="str">
        <f t="shared" si="6"/>
        <v>土地使用年限（年）</v>
      </c>
      <c r="R10" s="1110" t="s">
        <v>61</v>
      </c>
      <c r="S10" s="1111">
        <f t="shared" si="0"/>
        <v>101</v>
      </c>
      <c r="T10" s="1110" t="s">
        <v>61</v>
      </c>
      <c r="U10" s="1111">
        <f t="shared" si="1"/>
        <v>101</v>
      </c>
      <c r="V10" s="1110" t="s">
        <v>61</v>
      </c>
      <c r="W10" s="1111">
        <f t="shared" si="2"/>
        <v>101</v>
      </c>
      <c r="X10" s="1112"/>
      <c r="Y10" s="3307"/>
      <c r="Z10" s="206" t="str">
        <f t="shared" si="7"/>
        <v>土地使用年限（年）</v>
      </c>
      <c r="AA10" s="1113">
        <f t="shared" si="3"/>
        <v>0.99009900990099009</v>
      </c>
      <c r="AB10" s="1113">
        <f t="shared" si="4"/>
        <v>0.99009900990099009</v>
      </c>
      <c r="AC10" s="1113">
        <f t="shared" si="5"/>
        <v>0.99009900990099009</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75"/>
      <c r="Q11" s="192" t="str">
        <f t="shared" si="6"/>
        <v>容积率</v>
      </c>
      <c r="R11" s="1110" t="s">
        <v>61</v>
      </c>
      <c r="S11" s="1111" t="e">
        <f t="shared" si="0"/>
        <v>#N/A</v>
      </c>
      <c r="T11" s="1110" t="s">
        <v>61</v>
      </c>
      <c r="U11" s="1111" t="e">
        <f t="shared" si="1"/>
        <v>#N/A</v>
      </c>
      <c r="V11" s="1110" t="s">
        <v>61</v>
      </c>
      <c r="W11" s="1111" t="e">
        <f t="shared" si="2"/>
        <v>#N/A</v>
      </c>
      <c r="X11" s="1112"/>
      <c r="Y11" s="3307"/>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75"/>
      <c r="Q12" s="192">
        <f t="shared" si="6"/>
        <v>111</v>
      </c>
      <c r="R12" s="1110" t="s">
        <v>61</v>
      </c>
      <c r="S12" s="1111">
        <f t="shared" si="0"/>
        <v>100</v>
      </c>
      <c r="T12" s="1110" t="s">
        <v>61</v>
      </c>
      <c r="U12" s="1111">
        <f t="shared" si="1"/>
        <v>100</v>
      </c>
      <c r="V12" s="1110" t="s">
        <v>61</v>
      </c>
      <c r="W12" s="1111">
        <f t="shared" si="2"/>
        <v>100</v>
      </c>
      <c r="X12" s="1112"/>
      <c r="Y12" s="3307"/>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75"/>
      <c r="Q13" s="192">
        <f t="shared" si="6"/>
        <v>111</v>
      </c>
      <c r="R13" s="1110" t="s">
        <v>61</v>
      </c>
      <c r="S13" s="1111">
        <f t="shared" si="0"/>
        <v>100</v>
      </c>
      <c r="T13" s="1110" t="s">
        <v>61</v>
      </c>
      <c r="U13" s="1111">
        <f t="shared" si="1"/>
        <v>100</v>
      </c>
      <c r="V13" s="1110" t="s">
        <v>61</v>
      </c>
      <c r="W13" s="1111">
        <f t="shared" si="2"/>
        <v>100</v>
      </c>
      <c r="X13" s="1112"/>
      <c r="Y13" s="3307"/>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75"/>
      <c r="Q14" s="192">
        <f t="shared" si="6"/>
        <v>111</v>
      </c>
      <c r="R14" s="1110" t="s">
        <v>61</v>
      </c>
      <c r="S14" s="1111">
        <f t="shared" si="0"/>
        <v>100</v>
      </c>
      <c r="T14" s="1110" t="s">
        <v>61</v>
      </c>
      <c r="U14" s="1111">
        <f t="shared" si="1"/>
        <v>100</v>
      </c>
      <c r="V14" s="1110" t="s">
        <v>61</v>
      </c>
      <c r="W14" s="1111">
        <f t="shared" si="2"/>
        <v>100</v>
      </c>
      <c r="X14" s="1112"/>
      <c r="Y14" s="3307"/>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503" t="s">
        <v>421</v>
      </c>
      <c r="Q15" s="1114" t="str">
        <f t="shared" si="6"/>
        <v>产业集聚程度</v>
      </c>
      <c r="R15" s="1115" t="s">
        <v>61</v>
      </c>
      <c r="S15" s="1116">
        <f t="shared" si="0"/>
        <v>100</v>
      </c>
      <c r="T15" s="1115" t="s">
        <v>61</v>
      </c>
      <c r="U15" s="1116">
        <f t="shared" si="1"/>
        <v>100</v>
      </c>
      <c r="V15" s="1115" t="s">
        <v>61</v>
      </c>
      <c r="W15" s="1116">
        <f t="shared" si="2"/>
        <v>100</v>
      </c>
      <c r="X15" s="1109"/>
      <c r="Y15" s="3503"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504"/>
      <c r="Q16" s="1114"/>
      <c r="R16" s="1115"/>
      <c r="S16" s="1116"/>
      <c r="T16" s="1115"/>
      <c r="U16" s="1116"/>
      <c r="V16" s="1115"/>
      <c r="W16" s="1116"/>
      <c r="X16" s="1109"/>
      <c r="Y16" s="3504"/>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504"/>
      <c r="Q17" s="1114" t="str">
        <f>B17</f>
        <v>交通便捷度</v>
      </c>
      <c r="R17" s="1115" t="s">
        <v>61</v>
      </c>
      <c r="S17" s="1116">
        <f>F17</f>
        <v>100</v>
      </c>
      <c r="T17" s="1115" t="s">
        <v>61</v>
      </c>
      <c r="U17" s="1116">
        <f>H17</f>
        <v>100</v>
      </c>
      <c r="V17" s="1115" t="s">
        <v>61</v>
      </c>
      <c r="W17" s="1116">
        <f>J17</f>
        <v>100</v>
      </c>
      <c r="X17" s="1109"/>
      <c r="Y17" s="3504"/>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504"/>
      <c r="Q18" s="1114"/>
      <c r="R18" s="1115"/>
      <c r="S18" s="1116"/>
      <c r="T18" s="1115"/>
      <c r="U18" s="1116"/>
      <c r="V18" s="1115"/>
      <c r="W18" s="1116"/>
      <c r="X18" s="1109"/>
      <c r="Y18" s="3504"/>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504"/>
      <c r="Q19" s="1114" t="str">
        <f t="shared" ref="Q19:Q33" si="8">B19</f>
        <v>区域土地利用方向</v>
      </c>
      <c r="R19" s="1115" t="s">
        <v>61</v>
      </c>
      <c r="S19" s="1116">
        <f>F19</f>
        <v>100</v>
      </c>
      <c r="T19" s="1115" t="s">
        <v>61</v>
      </c>
      <c r="U19" s="1116">
        <f>H19</f>
        <v>100</v>
      </c>
      <c r="V19" s="1115" t="s">
        <v>61</v>
      </c>
      <c r="W19" s="1116">
        <f>J19</f>
        <v>100</v>
      </c>
      <c r="X19" s="1109"/>
      <c r="Y19" s="3504"/>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504"/>
      <c r="Q20" s="1282"/>
      <c r="R20" s="1115"/>
      <c r="S20" s="1116"/>
      <c r="T20" s="1115"/>
      <c r="U20" s="1116"/>
      <c r="V20" s="1115"/>
      <c r="W20" s="1116"/>
      <c r="X20" s="1281"/>
      <c r="Y20" s="3504"/>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504"/>
      <c r="Q21" s="1114" t="str">
        <f t="shared" si="8"/>
        <v>环境状况</v>
      </c>
      <c r="R21" s="1115" t="s">
        <v>61</v>
      </c>
      <c r="S21" s="1116">
        <f>F21</f>
        <v>100</v>
      </c>
      <c r="T21" s="1115" t="s">
        <v>61</v>
      </c>
      <c r="U21" s="1116">
        <f>H21</f>
        <v>100</v>
      </c>
      <c r="V21" s="1115" t="s">
        <v>61</v>
      </c>
      <c r="W21" s="1116">
        <f>J21</f>
        <v>100</v>
      </c>
      <c r="X21" s="1109"/>
      <c r="Y21" s="3504"/>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504"/>
      <c r="Q22" s="1114"/>
      <c r="R22" s="1115"/>
      <c r="S22" s="1116"/>
      <c r="T22" s="1115"/>
      <c r="U22" s="1116"/>
      <c r="V22" s="1115"/>
      <c r="W22" s="1116"/>
      <c r="X22" s="1109"/>
      <c r="Y22" s="3504"/>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504"/>
      <c r="Q23" s="192" t="str">
        <f t="shared" si="8"/>
        <v>公共配套设施</v>
      </c>
      <c r="R23" s="1110" t="s">
        <v>61</v>
      </c>
      <c r="S23" s="1111">
        <f>F23</f>
        <v>100</v>
      </c>
      <c r="T23" s="1110" t="s">
        <v>61</v>
      </c>
      <c r="U23" s="1111">
        <f>H23</f>
        <v>100</v>
      </c>
      <c r="V23" s="1110" t="s">
        <v>61</v>
      </c>
      <c r="W23" s="1111">
        <f>J23</f>
        <v>100</v>
      </c>
      <c r="X23" s="1112"/>
      <c r="Y23" s="3504"/>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504"/>
      <c r="Q24" s="192"/>
      <c r="R24" s="1110"/>
      <c r="S24" s="1111"/>
      <c r="T24" s="1110"/>
      <c r="U24" s="1111"/>
      <c r="V24" s="1110"/>
      <c r="W24" s="1111"/>
      <c r="X24" s="1112"/>
      <c r="Y24" s="3504"/>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504"/>
      <c r="Q25" s="2547" t="str">
        <f t="shared" ref="Q25" si="9">B25</f>
        <v>基础设施水平</v>
      </c>
      <c r="R25" s="1110" t="s">
        <v>61</v>
      </c>
      <c r="S25" s="1111">
        <f>F25</f>
        <v>100</v>
      </c>
      <c r="T25" s="1110" t="s">
        <v>61</v>
      </c>
      <c r="U25" s="1111">
        <f>H25</f>
        <v>100</v>
      </c>
      <c r="V25" s="1110" t="s">
        <v>61</v>
      </c>
      <c r="W25" s="1111">
        <f>J25</f>
        <v>100</v>
      </c>
      <c r="X25" s="1112"/>
      <c r="Y25" s="3504"/>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504"/>
      <c r="Q26" s="2547"/>
      <c r="R26" s="1110"/>
      <c r="S26" s="1111"/>
      <c r="T26" s="1110"/>
      <c r="U26" s="1111"/>
      <c r="V26" s="1110"/>
      <c r="W26" s="1111"/>
      <c r="X26" s="1112"/>
      <c r="Y26" s="3504"/>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504"/>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04"/>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504"/>
      <c r="Q28" s="1114" t="str">
        <f t="shared" si="8"/>
        <v>毗邻道路的类型与等级</v>
      </c>
      <c r="R28" s="1115" t="s">
        <v>61</v>
      </c>
      <c r="S28" s="1116">
        <f t="shared" si="10"/>
        <v>100</v>
      </c>
      <c r="T28" s="1115" t="s">
        <v>61</v>
      </c>
      <c r="U28" s="1116">
        <f t="shared" si="11"/>
        <v>100</v>
      </c>
      <c r="V28" s="1115" t="s">
        <v>61</v>
      </c>
      <c r="W28" s="1116">
        <f t="shared" si="12"/>
        <v>100</v>
      </c>
      <c r="X28" s="1109"/>
      <c r="Y28" s="3504"/>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504"/>
      <c r="Q29" s="1114"/>
      <c r="R29" s="1115"/>
      <c r="S29" s="1116"/>
      <c r="T29" s="1115"/>
      <c r="U29" s="1116"/>
      <c r="V29" s="1115"/>
      <c r="W29" s="1116"/>
      <c r="X29" s="1109"/>
      <c r="Y29" s="3504"/>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504"/>
      <c r="Q30" s="1114" t="str">
        <f t="shared" si="8"/>
        <v>土地级别</v>
      </c>
      <c r="R30" s="1115" t="s">
        <v>61</v>
      </c>
      <c r="S30" s="1116">
        <f t="shared" si="10"/>
        <v>100</v>
      </c>
      <c r="T30" s="1115" t="s">
        <v>61</v>
      </c>
      <c r="U30" s="1116">
        <f t="shared" si="11"/>
        <v>100</v>
      </c>
      <c r="V30" s="1115" t="s">
        <v>61</v>
      </c>
      <c r="W30" s="1116">
        <f t="shared" si="12"/>
        <v>100</v>
      </c>
      <c r="X30" s="1109"/>
      <c r="Y30" s="3504"/>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504"/>
      <c r="Q31" s="1114">
        <f t="shared" si="8"/>
        <v>111</v>
      </c>
      <c r="R31" s="1115" t="s">
        <v>61</v>
      </c>
      <c r="S31" s="1116">
        <f t="shared" si="10"/>
        <v>100</v>
      </c>
      <c r="T31" s="1115" t="s">
        <v>61</v>
      </c>
      <c r="U31" s="1116">
        <f t="shared" si="11"/>
        <v>100</v>
      </c>
      <c r="V31" s="1115" t="s">
        <v>61</v>
      </c>
      <c r="W31" s="1116">
        <f t="shared" si="12"/>
        <v>100</v>
      </c>
      <c r="X31" s="1109"/>
      <c r="Y31" s="3504"/>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505" t="s">
        <v>423</v>
      </c>
      <c r="Q32" s="1114">
        <f t="shared" si="8"/>
        <v>111</v>
      </c>
      <c r="R32" s="1115" t="s">
        <v>61</v>
      </c>
      <c r="S32" s="1116">
        <f t="shared" si="10"/>
        <v>100</v>
      </c>
      <c r="T32" s="1115" t="s">
        <v>61</v>
      </c>
      <c r="U32" s="1116">
        <f t="shared" si="11"/>
        <v>100</v>
      </c>
      <c r="V32" s="1115" t="s">
        <v>61</v>
      </c>
      <c r="W32" s="1116">
        <f t="shared" si="12"/>
        <v>100</v>
      </c>
      <c r="X32" s="1109"/>
      <c r="Y32" s="3506"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506"/>
      <c r="Q33" s="1114">
        <f t="shared" si="8"/>
        <v>111</v>
      </c>
      <c r="R33" s="1120" t="s">
        <v>61</v>
      </c>
      <c r="S33" s="1121">
        <f t="shared" si="10"/>
        <v>100</v>
      </c>
      <c r="T33" s="1120" t="s">
        <v>61</v>
      </c>
      <c r="U33" s="1121">
        <f t="shared" si="11"/>
        <v>100</v>
      </c>
      <c r="V33" s="1120" t="s">
        <v>61</v>
      </c>
      <c r="W33" s="1121">
        <f t="shared" si="12"/>
        <v>100</v>
      </c>
      <c r="X33" s="1122"/>
      <c r="Y33" s="3506"/>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506"/>
      <c r="Q34" s="1114" t="str">
        <f>B34</f>
        <v>宗地面积</v>
      </c>
      <c r="R34" s="1115" t="s">
        <v>61</v>
      </c>
      <c r="S34" s="1116" t="e">
        <f t="shared" si="10"/>
        <v>#N/A</v>
      </c>
      <c r="T34" s="1115" t="s">
        <v>61</v>
      </c>
      <c r="U34" s="1116" t="e">
        <f t="shared" si="11"/>
        <v>#N/A</v>
      </c>
      <c r="V34" s="1115" t="s">
        <v>61</v>
      </c>
      <c r="W34" s="1116" t="e">
        <f t="shared" si="12"/>
        <v>#N/A</v>
      </c>
      <c r="X34" s="1109"/>
      <c r="Y34" s="3506"/>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506"/>
      <c r="Q35" s="1114" t="str">
        <f t="shared" ref="Q35:Q40" si="14">B35</f>
        <v>宗地形状</v>
      </c>
      <c r="R35" s="1115" t="s">
        <v>61</v>
      </c>
      <c r="S35" s="1116">
        <f t="shared" si="10"/>
        <v>100</v>
      </c>
      <c r="T35" s="1115" t="s">
        <v>61</v>
      </c>
      <c r="U35" s="1116">
        <f t="shared" si="11"/>
        <v>100</v>
      </c>
      <c r="V35" s="1115" t="s">
        <v>61</v>
      </c>
      <c r="W35" s="1116">
        <f t="shared" si="12"/>
        <v>100</v>
      </c>
      <c r="X35" s="1109"/>
      <c r="Y35" s="3506"/>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506"/>
      <c r="Q36" s="1114" t="str">
        <f t="shared" si="14"/>
        <v>宗地开发程度</v>
      </c>
      <c r="R36" s="1110" t="s">
        <v>61</v>
      </c>
      <c r="S36" s="1111">
        <f t="shared" si="10"/>
        <v>100</v>
      </c>
      <c r="T36" s="1110" t="s">
        <v>61</v>
      </c>
      <c r="U36" s="1111">
        <f t="shared" si="11"/>
        <v>100</v>
      </c>
      <c r="V36" s="1110" t="s">
        <v>61</v>
      </c>
      <c r="W36" s="1111">
        <f t="shared" si="12"/>
        <v>100</v>
      </c>
      <c r="X36" s="1112"/>
      <c r="Y36" s="3506"/>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506" t="s">
        <v>532</v>
      </c>
      <c r="Q37" s="1114" t="str">
        <f t="shared" si="14"/>
        <v>工程地质条件</v>
      </c>
      <c r="R37" s="1115" t="s">
        <v>61</v>
      </c>
      <c r="S37" s="1116">
        <f t="shared" si="10"/>
        <v>100</v>
      </c>
      <c r="T37" s="1115" t="s">
        <v>61</v>
      </c>
      <c r="U37" s="1116">
        <f t="shared" si="11"/>
        <v>100</v>
      </c>
      <c r="V37" s="1115" t="s">
        <v>61</v>
      </c>
      <c r="W37" s="1116">
        <f t="shared" si="12"/>
        <v>100</v>
      </c>
      <c r="X37" s="1109"/>
      <c r="Y37" s="3506"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506"/>
      <c r="Q38" s="1114">
        <f t="shared" si="14"/>
        <v>111</v>
      </c>
      <c r="R38" s="1115" t="s">
        <v>61</v>
      </c>
      <c r="S38" s="1116">
        <f t="shared" si="10"/>
        <v>100</v>
      </c>
      <c r="T38" s="1115" t="s">
        <v>61</v>
      </c>
      <c r="U38" s="1116">
        <f t="shared" si="11"/>
        <v>100</v>
      </c>
      <c r="V38" s="1115" t="s">
        <v>61</v>
      </c>
      <c r="W38" s="1116">
        <f t="shared" si="12"/>
        <v>100</v>
      </c>
      <c r="X38" s="1109"/>
      <c r="Y38" s="3506"/>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506"/>
      <c r="Q39" s="1114">
        <f t="shared" si="14"/>
        <v>111</v>
      </c>
      <c r="R39" s="1115" t="s">
        <v>61</v>
      </c>
      <c r="S39" s="1116">
        <f t="shared" si="10"/>
        <v>100</v>
      </c>
      <c r="T39" s="1115" t="s">
        <v>61</v>
      </c>
      <c r="U39" s="1116">
        <f t="shared" si="11"/>
        <v>100</v>
      </c>
      <c r="V39" s="1115" t="s">
        <v>61</v>
      </c>
      <c r="W39" s="1116">
        <f t="shared" si="12"/>
        <v>100</v>
      </c>
      <c r="X39" s="1109"/>
      <c r="Y39" s="3506"/>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506"/>
      <c r="Q40" s="1114">
        <f t="shared" si="14"/>
        <v>111</v>
      </c>
      <c r="R40" s="1120" t="s">
        <v>61</v>
      </c>
      <c r="S40" s="1121">
        <f t="shared" si="10"/>
        <v>100</v>
      </c>
      <c r="T40" s="1120" t="s">
        <v>61</v>
      </c>
      <c r="U40" s="1121">
        <f t="shared" si="11"/>
        <v>100</v>
      </c>
      <c r="V40" s="1120" t="s">
        <v>61</v>
      </c>
      <c r="W40" s="1121">
        <f t="shared" si="12"/>
        <v>100</v>
      </c>
      <c r="X40" s="1122"/>
      <c r="Y40" s="3506"/>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75" t="str">
        <f>A41</f>
        <v>成交单价</v>
      </c>
      <c r="Q41" s="3475"/>
      <c r="R41" s="3499">
        <f>E41</f>
        <v>0</v>
      </c>
      <c r="S41" s="3499"/>
      <c r="T41" s="3499">
        <f>G41</f>
        <v>0</v>
      </c>
      <c r="U41" s="3499"/>
      <c r="V41" s="3499">
        <f>I41</f>
        <v>0</v>
      </c>
      <c r="W41" s="3499"/>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75" t="str">
        <f>A42</f>
        <v>比较价值（元/平方米）</v>
      </c>
      <c r="Q42" s="3475"/>
      <c r="R42" s="3511" t="e">
        <f>ROUND(PRODUCT(R41,AA7:AA40),0)</f>
        <v>#DIV/0!</v>
      </c>
      <c r="S42" s="3511"/>
      <c r="T42" s="3511" t="e">
        <f>ROUND(PRODUCT(T41,AB7:AB40),0)</f>
        <v>#DIV/0!</v>
      </c>
      <c r="U42" s="3511"/>
      <c r="V42" s="3511" t="e">
        <f>ROUND(PRODUCT(V41,AC7:AC40),0)</f>
        <v>#DIV/0!</v>
      </c>
      <c r="W42" s="3511"/>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508" t="str">
        <f>A43</f>
        <v>估价对象XX用房的比较价值（楼面单价，元/平方米）</v>
      </c>
      <c r="Q43" s="3509"/>
      <c r="R43" s="3512" t="e">
        <f>ROUND(AVERAGE(R42:V42),0)</f>
        <v>#DIV/0!</v>
      </c>
      <c r="S43" s="3512"/>
      <c r="T43" s="3512"/>
      <c r="U43" s="3512"/>
      <c r="V43" s="3512"/>
      <c r="W43" s="3512"/>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2017-8-1</v>
      </c>
      <c r="D63" s="2797">
        <f>EDATE(C63,-3)</f>
        <v>42856</v>
      </c>
      <c r="E63" s="2797">
        <f t="shared" ref="E63:O63" si="18">EDATE(D63,-3)</f>
        <v>42767</v>
      </c>
      <c r="F63" s="2797">
        <f t="shared" si="18"/>
        <v>42675</v>
      </c>
      <c r="G63" s="2797">
        <f t="shared" si="18"/>
        <v>42583</v>
      </c>
      <c r="H63" s="2797">
        <f t="shared" si="18"/>
        <v>42491</v>
      </c>
      <c r="I63" s="2797">
        <f t="shared" si="18"/>
        <v>42401</v>
      </c>
      <c r="J63" s="2797">
        <f t="shared" si="18"/>
        <v>42309</v>
      </c>
      <c r="K63" s="2797">
        <f t="shared" si="18"/>
        <v>42217</v>
      </c>
      <c r="L63" s="2797">
        <f t="shared" si="18"/>
        <v>42125</v>
      </c>
      <c r="M63" s="2797">
        <f t="shared" si="18"/>
        <v>42036</v>
      </c>
      <c r="N63" s="2797">
        <f t="shared" si="18"/>
        <v>41944</v>
      </c>
      <c r="O63" s="2797">
        <f t="shared" si="18"/>
        <v>41852</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26"/>
      <c r="B4" s="3527"/>
      <c r="C4" s="3527"/>
      <c r="D4" s="3528"/>
      <c r="E4" s="3528"/>
      <c r="F4" s="3528"/>
      <c r="G4" s="3528"/>
      <c r="H4" s="3528"/>
      <c r="I4" s="3528"/>
      <c r="J4" s="3529"/>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13"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14"/>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23" t="s">
        <v>2759</v>
      </c>
      <c r="X8" s="3524"/>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14"/>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25"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14"/>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25"/>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14"/>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25"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13"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25"/>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30"/>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25"/>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30"/>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31"/>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13"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14"/>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42969</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65.459999999999994</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72">
      <c r="A49" s="1306" t="s">
        <v>1691</v>
      </c>
      <c r="B49" s="1317" t="str">
        <f>估价对象房地状况!C18</f>
        <v>以估价对象为中心半径2公里范围内最高级别道路为城市次干道——燕灵路，有快速直达专线61路，综合评价交通便捷度一般</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城市次干道——燕灵路</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估价对象所在区域公共配套设施成熟度一般</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60.75" thickBot="1">
      <c r="A56" s="1321" t="s">
        <v>1698</v>
      </c>
      <c r="B56" s="1322" t="str">
        <f>估价对象房地状况!C20</f>
        <v>区域自然环境：燕郊滨河森林公园东区、燕郊植物园等；人文环境：燕京理工学院；综合评价环境状况较好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72">
      <c r="A60" s="1306" t="s">
        <v>1691</v>
      </c>
      <c r="B60" s="1317" t="str">
        <f>估价对象房地状况!C18</f>
        <v>以估价对象为中心半径2公里范围内最高级别道路为城市次干道——燕灵路，有快速直达专线61路，综合评价交通便捷度一般</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城市次干道——燕灵路</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估价对象所在区域公共配套设施成熟度一般</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60.75" thickBot="1">
      <c r="A67" s="1321" t="s">
        <v>1698</v>
      </c>
      <c r="B67" s="1325" t="str">
        <f>估价对象房地状况!C20</f>
        <v>区域自然环境：燕郊滨河森林公园东区、燕郊植物园等；人文环境：燕京理工学院；综合评价环境状况较好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60">
      <c r="A70" s="1306" t="s">
        <v>1700</v>
      </c>
      <c r="B70" s="1312" t="str">
        <f>估价对象房地状况!C15</f>
        <v>估价对象周边有天佑爱上岛、燕达首尔国际村、壹克拉公寓等住宅小区，综合评价居住社区成熟度一般</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72">
      <c r="A71" s="1306" t="s">
        <v>1691</v>
      </c>
      <c r="B71" s="1317" t="str">
        <f>估价对象房地状况!C18</f>
        <v>以估价对象为中心半径2公里范围内最高级别道路为城市次干道——燕灵路，有快速直达专线61路，综合评价交通便捷度一般</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14.25">
      <c r="A73" s="1306" t="s">
        <v>1701</v>
      </c>
      <c r="B73" s="1317" t="str">
        <f>估价对象房地状况!C24</f>
        <v>城市次干道——燕灵路</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估价对象所在区域公共配套设施成熟度一般</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2888</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60">
      <c r="A77" s="1306" t="s">
        <v>1698</v>
      </c>
      <c r="B77" s="1312" t="str">
        <f>估价对象房地状况!C20</f>
        <v>区域自然环境：燕郊滨河森林公园东区、燕郊植物园等；人文环境：燕京理工学院；综合评价环境状况较好</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15" t="s">
        <v>2389</v>
      </c>
      <c r="B90" s="3515"/>
      <c r="C90" s="3515"/>
      <c r="D90" s="3515"/>
      <c r="E90" s="3515"/>
      <c r="F90" s="3515"/>
      <c r="G90" s="3515"/>
      <c r="H90" s="3515"/>
      <c r="I90" s="3515"/>
      <c r="J90" s="3515"/>
      <c r="K90" s="2422"/>
      <c r="L90" s="2422"/>
      <c r="M90" s="2422"/>
      <c r="N90" s="2422"/>
    </row>
    <row r="91" spans="1:37">
      <c r="A91" s="3517" t="s">
        <v>2390</v>
      </c>
      <c r="B91" s="3517" t="s">
        <v>2391</v>
      </c>
      <c r="C91" s="1407" t="s">
        <v>2392</v>
      </c>
      <c r="D91" s="1408"/>
      <c r="E91" s="1408"/>
      <c r="F91" s="1408"/>
      <c r="G91" s="1408"/>
      <c r="H91" s="1408"/>
      <c r="I91" s="1408"/>
      <c r="J91" s="1409"/>
      <c r="K91" s="1397"/>
      <c r="L91" s="1397"/>
      <c r="M91" s="1397"/>
      <c r="N91" s="1397"/>
    </row>
    <row r="92" spans="1:37">
      <c r="A92" s="3517"/>
      <c r="B92" s="3517"/>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18"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19"/>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19"/>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19"/>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19"/>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19"/>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19"/>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0"/>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18"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19"/>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19"/>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19"/>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19"/>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19"/>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19"/>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19"/>
      <c r="B108" s="3521"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0"/>
      <c r="B109" s="3522"/>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16" t="s">
        <v>2410</v>
      </c>
      <c r="B110" s="3516"/>
      <c r="C110" s="3516"/>
      <c r="D110" s="3516"/>
      <c r="E110" s="3516"/>
      <c r="F110" s="3516"/>
      <c r="G110" s="3516"/>
      <c r="H110" s="3516"/>
      <c r="I110" s="3516"/>
      <c r="J110" s="3516"/>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2" t="s">
        <v>2017</v>
      </c>
      <c r="B1" s="3532"/>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36">
      <c r="A5" s="1306" t="s">
        <v>1691</v>
      </c>
      <c r="B5" s="1317" t="str">
        <f>估价对象房地状况!C6</f>
        <v>以估价对象为中心半径2公里范围内最高级别道路为城市次干道——燕灵路，有快速直达专线61路，综合评价交通便捷度一般</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城市次干道——燕灵路</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估价对象所在区域公共配套设施成熟度一般</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24.75" thickBot="1">
      <c r="A12" s="1321" t="s">
        <v>1698</v>
      </c>
      <c r="B12" s="1322" t="str">
        <f>估价对象房地状况!C9</f>
        <v>区域自然环境：燕郊滨河森林公园东区、燕郊植物园等；人文环境：燕京理工学院；综合评价环境状况较好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36">
      <c r="A16" s="1306" t="s">
        <v>1691</v>
      </c>
      <c r="B16" s="1307" t="str">
        <f>估价对象房地状况!C6</f>
        <v>以估价对象为中心半径2公里范围内最高级别道路为城市次干道——燕灵路，有快速直达专线61路，综合评价交通便捷度一般</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城市次干道——燕灵路</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估价对象所在区域公共配套设施成熟度一般</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24.75" thickBot="1">
      <c r="A23" s="1321" t="s">
        <v>1698</v>
      </c>
      <c r="B23" s="1325" t="str">
        <f>估价对象房地状况!C9</f>
        <v>区域自然环境：燕郊滨河森林公园东区、燕郊植物园等；人文环境：燕京理工学院；综合评价环境状况较好</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24">
      <c r="A26" s="1306" t="s">
        <v>1700</v>
      </c>
      <c r="B26" s="1312" t="str">
        <f>估价对象房地状况!C3</f>
        <v>估价对象周边有天佑爱上岛、燕达首尔国际村、壹克拉公寓等住宅小区，综合评价居住社区成熟度一般</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36">
      <c r="A27" s="1306" t="s">
        <v>1691</v>
      </c>
      <c r="B27" s="1307" t="str">
        <f>估价对象房地状况!C6</f>
        <v>以估价对象为中心半径2公里范围内最高级别道路为城市次干道——燕灵路，有快速直达专线61路，综合评价交通便捷度一般</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城市次干道——燕灵路</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估价对象所在区域公共配套设施成熟度一般</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24">
      <c r="A33" s="1306" t="s">
        <v>1698</v>
      </c>
      <c r="B33" s="1312" t="str">
        <f>估价对象房地状况!C9</f>
        <v>区域自然环境：燕郊滨河森林公园东区、燕郊植物园等；人文环境：燕京理工学院；综合评价环境状况较好</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2" t="s">
        <v>1082</v>
      </c>
      <c r="B1" s="3532"/>
      <c r="C1" s="3532"/>
      <c r="D1" s="3532"/>
      <c r="E1" s="3532"/>
      <c r="F1" s="3532"/>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3" t="s">
        <v>1095</v>
      </c>
      <c r="B2" s="3533"/>
      <c r="C2" s="3533"/>
      <c r="D2" s="3533"/>
      <c r="E2" s="3533"/>
      <c r="F2" s="3533"/>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4"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5"/>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17" t="s">
        <v>1109</v>
      </c>
      <c r="B18" s="1393" t="s">
        <v>1494</v>
      </c>
      <c r="C18" s="1394" t="s">
        <v>1495</v>
      </c>
      <c r="D18" s="1395"/>
      <c r="E18" s="1393">
        <v>1</v>
      </c>
      <c r="F18" s="1396" t="s">
        <v>1496</v>
      </c>
      <c r="G18" s="1397"/>
      <c r="H18" s="1389"/>
      <c r="I18" s="1389"/>
    </row>
    <row r="19" spans="1:9" s="1398" customFormat="1" ht="19.5" customHeight="1">
      <c r="A19" s="3517"/>
      <c r="B19" s="3517" t="s">
        <v>1497</v>
      </c>
      <c r="C19" s="1394" t="s">
        <v>1498</v>
      </c>
      <c r="D19" s="1395"/>
      <c r="E19" s="1393">
        <v>0.9</v>
      </c>
      <c r="F19" s="1396" t="s">
        <v>1499</v>
      </c>
      <c r="G19" s="1397"/>
      <c r="H19" s="1389"/>
      <c r="I19" s="1389"/>
    </row>
    <row r="20" spans="1:9" s="1398" customFormat="1" ht="19.5" customHeight="1">
      <c r="A20" s="3517"/>
      <c r="B20" s="3517"/>
      <c r="C20" s="1394" t="s">
        <v>1500</v>
      </c>
      <c r="D20" s="1395"/>
      <c r="E20" s="1393">
        <v>1.1000000000000001</v>
      </c>
      <c r="F20" s="1396" t="s">
        <v>1501</v>
      </c>
      <c r="G20" s="1397"/>
      <c r="H20" s="1389"/>
      <c r="I20" s="1389"/>
    </row>
    <row r="21" spans="1:9" s="1398" customFormat="1" ht="19.5" customHeight="1">
      <c r="A21" s="3517"/>
      <c r="B21" s="3517"/>
      <c r="C21" s="1394" t="s">
        <v>1502</v>
      </c>
      <c r="D21" s="1395"/>
      <c r="E21" s="1393">
        <v>0.8</v>
      </c>
      <c r="F21" s="1396" t="s">
        <v>1503</v>
      </c>
      <c r="G21" s="1397"/>
      <c r="H21" s="1389"/>
      <c r="I21" s="1389"/>
    </row>
    <row r="22" spans="1:9" s="1398" customFormat="1" ht="19.5" customHeight="1">
      <c r="A22" s="3517"/>
      <c r="B22" s="3517"/>
      <c r="C22" s="1394" t="s">
        <v>1504</v>
      </c>
      <c r="D22" s="1395"/>
      <c r="E22" s="1393">
        <v>0.5</v>
      </c>
      <c r="F22" s="1396"/>
      <c r="G22" s="1397"/>
      <c r="H22" s="1389"/>
      <c r="I22" s="1389"/>
    </row>
    <row r="23" spans="1:9" s="1398" customFormat="1" ht="19.5" customHeight="1">
      <c r="A23" s="3517" t="s">
        <v>1110</v>
      </c>
      <c r="B23" s="1393" t="s">
        <v>1494</v>
      </c>
      <c r="C23" s="1394" t="s">
        <v>1505</v>
      </c>
      <c r="D23" s="1395"/>
      <c r="E23" s="1393">
        <v>1</v>
      </c>
      <c r="F23" s="1396" t="s">
        <v>1506</v>
      </c>
      <c r="G23" s="1397"/>
      <c r="H23" s="1389"/>
      <c r="I23" s="1389"/>
    </row>
    <row r="24" spans="1:9" s="1398" customFormat="1" ht="19.5" customHeight="1">
      <c r="A24" s="3517"/>
      <c r="B24" s="3517" t="s">
        <v>1497</v>
      </c>
      <c r="C24" s="1394" t="s">
        <v>1507</v>
      </c>
      <c r="D24" s="1395"/>
      <c r="E24" s="1393">
        <v>0.5</v>
      </c>
      <c r="F24" s="1396"/>
      <c r="G24" s="1397"/>
      <c r="H24" s="1389"/>
      <c r="I24" s="1389"/>
    </row>
    <row r="25" spans="1:9" s="1398" customFormat="1" ht="19.5" customHeight="1">
      <c r="A25" s="3517"/>
      <c r="B25" s="3517"/>
      <c r="C25" s="1394" t="s">
        <v>1508</v>
      </c>
      <c r="D25" s="1395"/>
      <c r="E25" s="1393">
        <v>1.1000000000000001</v>
      </c>
      <c r="F25" s="1396"/>
      <c r="G25" s="1397"/>
      <c r="H25" s="1389"/>
      <c r="I25" s="1389"/>
    </row>
    <row r="26" spans="1:9" s="1398" customFormat="1" ht="19.5" customHeight="1">
      <c r="A26" s="3517"/>
      <c r="B26" s="3517"/>
      <c r="C26" s="1394" t="s">
        <v>1509</v>
      </c>
      <c r="D26" s="1395"/>
      <c r="E26" s="1393">
        <v>1.1000000000000001</v>
      </c>
      <c r="F26" s="1396"/>
      <c r="G26" s="1397"/>
      <c r="H26" s="1389"/>
      <c r="I26" s="1389"/>
    </row>
    <row r="27" spans="1:9" s="1398" customFormat="1" ht="19.5" customHeight="1">
      <c r="A27" s="3517"/>
      <c r="B27" s="3517"/>
      <c r="C27" s="1394" t="s">
        <v>1510</v>
      </c>
      <c r="D27" s="1395"/>
      <c r="E27" s="1393">
        <v>0.9</v>
      </c>
      <c r="F27" s="1396" t="s">
        <v>1511</v>
      </c>
      <c r="G27" s="1397"/>
      <c r="H27" s="1389"/>
      <c r="I27" s="1389"/>
    </row>
    <row r="28" spans="1:9" s="1398" customFormat="1" ht="19.5" customHeight="1">
      <c r="A28" s="3517"/>
      <c r="B28" s="3517"/>
      <c r="C28" s="1394" t="s">
        <v>1512</v>
      </c>
      <c r="D28" s="1395"/>
      <c r="E28" s="1393">
        <v>0.9</v>
      </c>
      <c r="F28" s="1396" t="s">
        <v>1513</v>
      </c>
      <c r="G28" s="1397"/>
      <c r="H28" s="1389"/>
      <c r="I28" s="1389"/>
    </row>
    <row r="29" spans="1:9" s="1398" customFormat="1" ht="19.5" customHeight="1">
      <c r="A29" s="3517"/>
      <c r="B29" s="3517"/>
      <c r="C29" s="1394" t="s">
        <v>1514</v>
      </c>
      <c r="D29" s="1395"/>
      <c r="E29" s="1393">
        <v>0.9</v>
      </c>
      <c r="F29" s="1396" t="s">
        <v>1515</v>
      </c>
      <c r="G29" s="1397"/>
      <c r="H29" s="1389"/>
      <c r="I29" s="1389"/>
    </row>
    <row r="30" spans="1:9" s="1398" customFormat="1" ht="19.5" customHeight="1">
      <c r="A30" s="3517"/>
      <c r="B30" s="3517"/>
      <c r="C30" s="1394" t="s">
        <v>1516</v>
      </c>
      <c r="D30" s="1395"/>
      <c r="E30" s="1393">
        <v>0.9</v>
      </c>
      <c r="F30" s="1396" t="s">
        <v>1517</v>
      </c>
      <c r="G30" s="1397"/>
      <c r="H30" s="1389"/>
      <c r="I30" s="1389"/>
    </row>
    <row r="31" spans="1:9" s="1398" customFormat="1" ht="19.5" customHeight="1">
      <c r="A31" s="3517"/>
      <c r="B31" s="3517"/>
      <c r="C31" s="1394" t="s">
        <v>1518</v>
      </c>
      <c r="D31" s="1395"/>
      <c r="E31" s="1393">
        <v>0.8</v>
      </c>
      <c r="F31" s="1396" t="s">
        <v>1519</v>
      </c>
      <c r="G31" s="1397"/>
      <c r="H31" s="1389"/>
      <c r="I31" s="1389"/>
    </row>
    <row r="32" spans="1:9" s="1398" customFormat="1" ht="19.5" customHeight="1">
      <c r="A32" s="3517"/>
      <c r="B32" s="3517"/>
      <c r="C32" s="1394" t="s">
        <v>1520</v>
      </c>
      <c r="D32" s="1395"/>
      <c r="E32" s="1393">
        <v>0.8</v>
      </c>
      <c r="F32" s="1396" t="s">
        <v>1521</v>
      </c>
      <c r="G32" s="1397"/>
      <c r="H32" s="1389"/>
      <c r="I32" s="1389"/>
    </row>
    <row r="33" spans="1:9" s="1398" customFormat="1" ht="19.5" customHeight="1">
      <c r="A33" s="3517" t="s">
        <v>1111</v>
      </c>
      <c r="B33" s="1393" t="s">
        <v>1494</v>
      </c>
      <c r="C33" s="1394" t="s">
        <v>1522</v>
      </c>
      <c r="D33" s="1395"/>
      <c r="E33" s="1393">
        <v>1</v>
      </c>
      <c r="F33" s="1396" t="s">
        <v>1523</v>
      </c>
      <c r="G33" s="1397"/>
      <c r="H33" s="1389"/>
      <c r="I33" s="1389"/>
    </row>
    <row r="34" spans="1:9" s="1398" customFormat="1" ht="19.5" customHeight="1">
      <c r="A34" s="3517"/>
      <c r="B34" s="1393" t="s">
        <v>1497</v>
      </c>
      <c r="C34" s="1394" t="s">
        <v>1524</v>
      </c>
      <c r="D34" s="1395"/>
      <c r="E34" s="1393">
        <v>1.5</v>
      </c>
      <c r="F34" s="1396" t="s">
        <v>1525</v>
      </c>
      <c r="G34" s="1397"/>
      <c r="H34" s="1389"/>
      <c r="I34" s="1389"/>
    </row>
    <row r="35" spans="1:9" s="1398" customFormat="1" ht="19.5" customHeight="1">
      <c r="A35" s="3517" t="s">
        <v>1112</v>
      </c>
      <c r="B35" s="1393" t="s">
        <v>1494</v>
      </c>
      <c r="C35" s="1394" t="s">
        <v>1526</v>
      </c>
      <c r="D35" s="1395"/>
      <c r="E35" s="1393">
        <v>1</v>
      </c>
      <c r="F35" s="1396" t="s">
        <v>1527</v>
      </c>
      <c r="G35" s="1397"/>
      <c r="H35" s="1389"/>
      <c r="I35" s="1389"/>
    </row>
    <row r="36" spans="1:9" s="1398" customFormat="1" ht="19.5" customHeight="1">
      <c r="A36" s="3517"/>
      <c r="B36" s="3517" t="s">
        <v>1497</v>
      </c>
      <c r="C36" s="1394" t="s">
        <v>1528</v>
      </c>
      <c r="D36" s="1395"/>
      <c r="E36" s="1393">
        <v>1</v>
      </c>
      <c r="F36" s="1396" t="s">
        <v>1529</v>
      </c>
      <c r="G36" s="1397"/>
      <c r="H36" s="1389"/>
      <c r="I36" s="1389"/>
    </row>
    <row r="37" spans="1:9" s="1398" customFormat="1" ht="19.5" customHeight="1">
      <c r="A37" s="3517"/>
      <c r="B37" s="3517"/>
      <c r="C37" s="1394" t="s">
        <v>1530</v>
      </c>
      <c r="D37" s="1395"/>
      <c r="E37" s="1393">
        <v>1.5</v>
      </c>
      <c r="F37" s="1396" t="s">
        <v>1531</v>
      </c>
      <c r="G37" s="1397"/>
      <c r="H37" s="1389"/>
      <c r="I37" s="1389"/>
    </row>
    <row r="38" spans="1:9" s="1398" customFormat="1" ht="19.5" customHeight="1">
      <c r="A38" s="3517"/>
      <c r="B38" s="3517"/>
      <c r="C38" s="1394" t="s">
        <v>1532</v>
      </c>
      <c r="D38" s="1395"/>
      <c r="E38" s="1393">
        <v>1</v>
      </c>
      <c r="F38" s="1396" t="s">
        <v>1533</v>
      </c>
      <c r="G38" s="1397"/>
      <c r="H38" s="1389"/>
      <c r="I38" s="1389"/>
    </row>
    <row r="39" spans="1:9" s="1398" customFormat="1" ht="19.5" customHeight="1">
      <c r="A39" s="3517"/>
      <c r="B39" s="3517"/>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17" t="s">
        <v>1548</v>
      </c>
      <c r="C61" s="1307" t="s">
        <v>1549</v>
      </c>
      <c r="D61" s="1307" t="s">
        <v>1550</v>
      </c>
      <c r="E61" s="1406">
        <v>0.5</v>
      </c>
      <c r="F61" s="1393">
        <v>80</v>
      </c>
    </row>
    <row r="62" spans="1:8" s="1389" customFormat="1" ht="24">
      <c r="A62" s="1393">
        <v>2</v>
      </c>
      <c r="B62" s="3517"/>
      <c r="C62" s="1307" t="s">
        <v>1551</v>
      </c>
      <c r="D62" s="1307" t="s">
        <v>1552</v>
      </c>
      <c r="E62" s="1406">
        <v>0.5</v>
      </c>
      <c r="F62" s="1393">
        <v>80</v>
      </c>
    </row>
    <row r="63" spans="1:8" s="1389" customFormat="1" ht="36">
      <c r="A63" s="1393">
        <v>3</v>
      </c>
      <c r="B63" s="3517"/>
      <c r="C63" s="1307" t="s">
        <v>1553</v>
      </c>
      <c r="D63" s="1307" t="s">
        <v>1554</v>
      </c>
      <c r="E63" s="1406">
        <v>0.5</v>
      </c>
      <c r="F63" s="1393">
        <v>80</v>
      </c>
    </row>
    <row r="64" spans="1:8" s="1389" customFormat="1" ht="36">
      <c r="A64" s="1393">
        <v>4</v>
      </c>
      <c r="B64" s="3517"/>
      <c r="C64" s="1307" t="s">
        <v>1555</v>
      </c>
      <c r="D64" s="1307" t="s">
        <v>1556</v>
      </c>
      <c r="E64" s="1406">
        <v>0.4</v>
      </c>
      <c r="F64" s="1393">
        <v>60</v>
      </c>
    </row>
    <row r="65" spans="1:6" s="1389" customFormat="1" ht="36">
      <c r="A65" s="1393">
        <v>5</v>
      </c>
      <c r="B65" s="3517"/>
      <c r="C65" s="1307" t="s">
        <v>1557</v>
      </c>
      <c r="D65" s="1307" t="s">
        <v>1558</v>
      </c>
      <c r="E65" s="1406">
        <v>0.2</v>
      </c>
      <c r="F65" s="1393">
        <v>30</v>
      </c>
    </row>
    <row r="66" spans="1:6" s="1389" customFormat="1" ht="36">
      <c r="A66" s="1393">
        <v>6</v>
      </c>
      <c r="B66" s="3517"/>
      <c r="C66" s="1307" t="s">
        <v>1559</v>
      </c>
      <c r="D66" s="1307" t="s">
        <v>1560</v>
      </c>
      <c r="E66" s="1406">
        <v>0.3</v>
      </c>
      <c r="F66" s="1393">
        <v>50</v>
      </c>
    </row>
    <row r="67" spans="1:6" s="1389" customFormat="1" ht="36">
      <c r="A67" s="1393">
        <v>7</v>
      </c>
      <c r="B67" s="3517"/>
      <c r="C67" s="1307" t="s">
        <v>1561</v>
      </c>
      <c r="D67" s="1307" t="s">
        <v>1562</v>
      </c>
      <c r="E67" s="1406">
        <v>0.2</v>
      </c>
      <c r="F67" s="1393">
        <v>30</v>
      </c>
    </row>
    <row r="68" spans="1:6" s="1389" customFormat="1" ht="36">
      <c r="A68" s="1393">
        <v>8</v>
      </c>
      <c r="B68" s="3517"/>
      <c r="C68" s="1307" t="s">
        <v>1563</v>
      </c>
      <c r="D68" s="1307" t="s">
        <v>1564</v>
      </c>
      <c r="E68" s="1406">
        <v>0.2</v>
      </c>
      <c r="F68" s="1393">
        <v>30</v>
      </c>
    </row>
    <row r="69" spans="1:6" s="1389" customFormat="1" ht="36">
      <c r="A69" s="1393">
        <v>9</v>
      </c>
      <c r="B69" s="3517"/>
      <c r="C69" s="1307" t="s">
        <v>1565</v>
      </c>
      <c r="D69" s="1307" t="s">
        <v>1566</v>
      </c>
      <c r="E69" s="1406">
        <v>0.2</v>
      </c>
      <c r="F69" s="1393">
        <v>30</v>
      </c>
    </row>
    <row r="70" spans="1:6" s="1389" customFormat="1" ht="48">
      <c r="A70" s="1393">
        <v>10</v>
      </c>
      <c r="B70" s="3517"/>
      <c r="C70" s="1307" t="s">
        <v>1567</v>
      </c>
      <c r="D70" s="1307" t="s">
        <v>1568</v>
      </c>
      <c r="E70" s="1406">
        <v>0.2</v>
      </c>
      <c r="F70" s="1393">
        <v>30</v>
      </c>
    </row>
    <row r="71" spans="1:6" s="1389" customFormat="1" ht="48">
      <c r="A71" s="1393">
        <v>11</v>
      </c>
      <c r="B71" s="3517"/>
      <c r="C71" s="1307" t="s">
        <v>1569</v>
      </c>
      <c r="D71" s="1307" t="s">
        <v>1570</v>
      </c>
      <c r="E71" s="1406">
        <v>0.2</v>
      </c>
      <c r="F71" s="1393">
        <v>30</v>
      </c>
    </row>
    <row r="72" spans="1:6" s="1389" customFormat="1" ht="36">
      <c r="A72" s="1393">
        <v>12</v>
      </c>
      <c r="B72" s="3517"/>
      <c r="C72" s="1307" t="s">
        <v>1571</v>
      </c>
      <c r="D72" s="1307" t="s">
        <v>1572</v>
      </c>
      <c r="E72" s="1406">
        <v>0.5</v>
      </c>
      <c r="F72" s="1393">
        <v>80</v>
      </c>
    </row>
    <row r="73" spans="1:6" s="1389" customFormat="1" ht="24">
      <c r="A73" s="1393">
        <v>13</v>
      </c>
      <c r="B73" s="3517"/>
      <c r="C73" s="1307" t="s">
        <v>1573</v>
      </c>
      <c r="D73" s="1307" t="s">
        <v>1574</v>
      </c>
      <c r="E73" s="1406">
        <v>0.4</v>
      </c>
      <c r="F73" s="1393">
        <v>60</v>
      </c>
    </row>
    <row r="74" spans="1:6" s="1389" customFormat="1" ht="24">
      <c r="A74" s="1393">
        <v>14</v>
      </c>
      <c r="B74" s="3517"/>
      <c r="C74" s="1307" t="s">
        <v>1575</v>
      </c>
      <c r="D74" s="1307" t="s">
        <v>1576</v>
      </c>
      <c r="E74" s="1406">
        <v>0.2</v>
      </c>
      <c r="F74" s="1393">
        <v>30</v>
      </c>
    </row>
    <row r="75" spans="1:6" s="1389" customFormat="1" ht="24">
      <c r="A75" s="1393">
        <v>15</v>
      </c>
      <c r="B75" s="3517"/>
      <c r="C75" s="1307" t="s">
        <v>1577</v>
      </c>
      <c r="D75" s="1307" t="s">
        <v>1578</v>
      </c>
      <c r="E75" s="1406">
        <v>0.2</v>
      </c>
      <c r="F75" s="1393">
        <v>30</v>
      </c>
    </row>
    <row r="76" spans="1:6" s="1389" customFormat="1" ht="24">
      <c r="A76" s="1393">
        <v>16</v>
      </c>
      <c r="B76" s="3517" t="s">
        <v>1579</v>
      </c>
      <c r="C76" s="1307" t="s">
        <v>1580</v>
      </c>
      <c r="D76" s="1307" t="s">
        <v>1581</v>
      </c>
      <c r="E76" s="1406">
        <v>0.5</v>
      </c>
      <c r="F76" s="1393">
        <v>80</v>
      </c>
    </row>
    <row r="77" spans="1:6" s="1389" customFormat="1" ht="24">
      <c r="A77" s="1393">
        <v>17</v>
      </c>
      <c r="B77" s="3517"/>
      <c r="C77" s="1307" t="s">
        <v>1582</v>
      </c>
      <c r="D77" s="1307" t="s">
        <v>1583</v>
      </c>
      <c r="E77" s="1406">
        <v>0.5</v>
      </c>
      <c r="F77" s="1393">
        <v>80</v>
      </c>
    </row>
    <row r="78" spans="1:6" s="1389" customFormat="1" ht="24">
      <c r="A78" s="1393">
        <v>18</v>
      </c>
      <c r="B78" s="3517"/>
      <c r="C78" s="1307" t="s">
        <v>1584</v>
      </c>
      <c r="D78" s="1307" t="s">
        <v>1585</v>
      </c>
      <c r="E78" s="1406">
        <v>0.2</v>
      </c>
      <c r="F78" s="1393">
        <v>30</v>
      </c>
    </row>
    <row r="79" spans="1:6" s="1389" customFormat="1" ht="24">
      <c r="A79" s="1393">
        <v>19</v>
      </c>
      <c r="B79" s="3517"/>
      <c r="C79" s="1307" t="s">
        <v>1586</v>
      </c>
      <c r="D79" s="1307" t="s">
        <v>1587</v>
      </c>
      <c r="E79" s="1406">
        <v>0.5</v>
      </c>
      <c r="F79" s="1393">
        <v>80</v>
      </c>
    </row>
    <row r="80" spans="1:6" s="1389" customFormat="1" ht="36">
      <c r="A80" s="1393">
        <v>20</v>
      </c>
      <c r="B80" s="3517"/>
      <c r="C80" s="1307" t="s">
        <v>1588</v>
      </c>
      <c r="D80" s="1307" t="s">
        <v>1589</v>
      </c>
      <c r="E80" s="1406">
        <v>0.2</v>
      </c>
      <c r="F80" s="1393">
        <v>30</v>
      </c>
    </row>
    <row r="81" spans="1:6" s="1389" customFormat="1" ht="36">
      <c r="A81" s="1393">
        <v>21</v>
      </c>
      <c r="B81" s="3517"/>
      <c r="C81" s="1307" t="s">
        <v>1590</v>
      </c>
      <c r="D81" s="1307" t="s">
        <v>1591</v>
      </c>
      <c r="E81" s="1406">
        <v>0.2</v>
      </c>
      <c r="F81" s="1393">
        <v>30</v>
      </c>
    </row>
    <row r="82" spans="1:6" s="1389" customFormat="1" ht="48">
      <c r="A82" s="1393">
        <v>22</v>
      </c>
      <c r="B82" s="3517"/>
      <c r="C82" s="1307" t="s">
        <v>1592</v>
      </c>
      <c r="D82" s="1307" t="s">
        <v>1593</v>
      </c>
      <c r="E82" s="1406">
        <v>0.2</v>
      </c>
      <c r="F82" s="1393">
        <v>30</v>
      </c>
    </row>
    <row r="83" spans="1:6" s="1389" customFormat="1" ht="48">
      <c r="A83" s="1393">
        <v>23</v>
      </c>
      <c r="B83" s="3517"/>
      <c r="C83" s="1307" t="s">
        <v>1594</v>
      </c>
      <c r="D83" s="1307" t="s">
        <v>1595</v>
      </c>
      <c r="E83" s="1406">
        <v>0.2</v>
      </c>
      <c r="F83" s="1393">
        <v>30</v>
      </c>
    </row>
    <row r="84" spans="1:6" s="1389" customFormat="1" ht="36">
      <c r="A84" s="1393">
        <v>24</v>
      </c>
      <c r="B84" s="3517"/>
      <c r="C84" s="1307" t="s">
        <v>1596</v>
      </c>
      <c r="D84" s="1307" t="s">
        <v>1597</v>
      </c>
      <c r="E84" s="1406">
        <v>0.2</v>
      </c>
      <c r="F84" s="1393">
        <v>30</v>
      </c>
    </row>
    <row r="85" spans="1:6" s="1389" customFormat="1" ht="36">
      <c r="A85" s="1393">
        <v>25</v>
      </c>
      <c r="B85" s="3517"/>
      <c r="C85" s="1307" t="s">
        <v>1598</v>
      </c>
      <c r="D85" s="1307" t="s">
        <v>1599</v>
      </c>
      <c r="E85" s="1406">
        <v>0.5</v>
      </c>
      <c r="F85" s="1393">
        <v>80</v>
      </c>
    </row>
    <row r="86" spans="1:6" s="1389" customFormat="1" ht="36">
      <c r="A86" s="1393">
        <v>26</v>
      </c>
      <c r="B86" s="3517"/>
      <c r="C86" s="1307" t="s">
        <v>1600</v>
      </c>
      <c r="D86" s="1307" t="s">
        <v>1601</v>
      </c>
      <c r="E86" s="1406">
        <v>0.2</v>
      </c>
      <c r="F86" s="1393">
        <v>30</v>
      </c>
    </row>
    <row r="87" spans="1:6" s="1389" customFormat="1" ht="36">
      <c r="A87" s="1393">
        <v>27</v>
      </c>
      <c r="B87" s="3517"/>
      <c r="C87" s="1307" t="s">
        <v>1602</v>
      </c>
      <c r="D87" s="1307" t="s">
        <v>1603</v>
      </c>
      <c r="E87" s="1406">
        <v>0.2</v>
      </c>
      <c r="F87" s="1393">
        <v>30</v>
      </c>
    </row>
    <row r="88" spans="1:6" s="1389" customFormat="1" ht="36">
      <c r="A88" s="1393">
        <v>28</v>
      </c>
      <c r="B88" s="3517"/>
      <c r="C88" s="1307" t="s">
        <v>1604</v>
      </c>
      <c r="D88" s="1307" t="s">
        <v>1605</v>
      </c>
      <c r="E88" s="1406">
        <v>0.2</v>
      </c>
      <c r="F88" s="1393">
        <v>30</v>
      </c>
    </row>
    <row r="89" spans="1:6" s="1389" customFormat="1" ht="24">
      <c r="A89" s="1393">
        <v>29</v>
      </c>
      <c r="B89" s="3517"/>
      <c r="C89" s="1307" t="s">
        <v>1606</v>
      </c>
      <c r="D89" s="1307" t="s">
        <v>1607</v>
      </c>
      <c r="E89" s="1406">
        <v>0.2</v>
      </c>
      <c r="F89" s="1393">
        <v>30</v>
      </c>
    </row>
    <row r="90" spans="1:6" s="1389" customFormat="1" ht="24">
      <c r="A90" s="1393">
        <v>30</v>
      </c>
      <c r="B90" s="3517"/>
      <c r="C90" s="1307" t="s">
        <v>1608</v>
      </c>
      <c r="D90" s="1307" t="s">
        <v>1609</v>
      </c>
      <c r="E90" s="1406">
        <v>0.2</v>
      </c>
      <c r="F90" s="1393">
        <v>30</v>
      </c>
    </row>
    <row r="91" spans="1:6" s="1389" customFormat="1" ht="36">
      <c r="A91" s="1393">
        <v>31</v>
      </c>
      <c r="B91" s="3517"/>
      <c r="C91" s="1307" t="s">
        <v>1610</v>
      </c>
      <c r="D91" s="1307" t="s">
        <v>1611</v>
      </c>
      <c r="E91" s="1406">
        <v>0.2</v>
      </c>
      <c r="F91" s="1393">
        <v>30</v>
      </c>
    </row>
    <row r="92" spans="1:6" s="1389" customFormat="1" ht="24">
      <c r="A92" s="1393">
        <v>32</v>
      </c>
      <c r="B92" s="3517" t="s">
        <v>1612</v>
      </c>
      <c r="C92" s="1393" t="s">
        <v>1613</v>
      </c>
      <c r="D92" s="1307" t="s">
        <v>1614</v>
      </c>
      <c r="E92" s="1406">
        <v>0.2</v>
      </c>
      <c r="F92" s="1393">
        <v>30</v>
      </c>
    </row>
    <row r="93" spans="1:6" s="1389" customFormat="1" ht="36">
      <c r="A93" s="1393">
        <v>33</v>
      </c>
      <c r="B93" s="3517"/>
      <c r="C93" s="1393" t="s">
        <v>1615</v>
      </c>
      <c r="D93" s="1307" t="s">
        <v>1616</v>
      </c>
      <c r="E93" s="1406">
        <v>0.2</v>
      </c>
      <c r="F93" s="1393">
        <v>30</v>
      </c>
    </row>
    <row r="94" spans="1:6" s="1389" customFormat="1" ht="48">
      <c r="A94" s="1393">
        <v>34</v>
      </c>
      <c r="B94" s="3517"/>
      <c r="C94" s="1393" t="s">
        <v>1617</v>
      </c>
      <c r="D94" s="1307" t="s">
        <v>1618</v>
      </c>
      <c r="E94" s="1406">
        <v>0.2</v>
      </c>
      <c r="F94" s="1393">
        <v>30</v>
      </c>
    </row>
    <row r="95" spans="1:6" s="1389" customFormat="1" ht="36">
      <c r="A95" s="1393">
        <v>35</v>
      </c>
      <c r="B95" s="3517"/>
      <c r="C95" s="1393" t="s">
        <v>1619</v>
      </c>
      <c r="D95" s="1307" t="s">
        <v>1620</v>
      </c>
      <c r="E95" s="1406">
        <v>0.2</v>
      </c>
      <c r="F95" s="1393">
        <v>30</v>
      </c>
    </row>
    <row r="96" spans="1:6" s="1389" customFormat="1" ht="48">
      <c r="A96" s="1393">
        <v>36</v>
      </c>
      <c r="B96" s="3517"/>
      <c r="C96" s="1307" t="s">
        <v>1621</v>
      </c>
      <c r="D96" s="1307" t="s">
        <v>1622</v>
      </c>
      <c r="E96" s="1406">
        <v>0.2</v>
      </c>
      <c r="F96" s="1393">
        <v>30</v>
      </c>
    </row>
    <row r="97" spans="1:6" s="1389" customFormat="1" ht="36">
      <c r="A97" s="1393">
        <v>37</v>
      </c>
      <c r="B97" s="3517"/>
      <c r="C97" s="1393" t="s">
        <v>1623</v>
      </c>
      <c r="D97" s="1307" t="s">
        <v>1624</v>
      </c>
      <c r="E97" s="1406">
        <v>0.2</v>
      </c>
      <c r="F97" s="1393">
        <v>30</v>
      </c>
    </row>
    <row r="98" spans="1:6" s="1389" customFormat="1" ht="36">
      <c r="A98" s="1393">
        <v>38</v>
      </c>
      <c r="B98" s="3517"/>
      <c r="C98" s="1393" t="s">
        <v>1625</v>
      </c>
      <c r="D98" s="1307" t="s">
        <v>1626</v>
      </c>
      <c r="E98" s="1406">
        <v>0.2</v>
      </c>
      <c r="F98" s="1393">
        <v>30</v>
      </c>
    </row>
    <row r="99" spans="1:6" s="1389" customFormat="1" ht="36">
      <c r="A99" s="1393">
        <v>39</v>
      </c>
      <c r="B99" s="3517" t="s">
        <v>1627</v>
      </c>
      <c r="C99" s="1393" t="s">
        <v>1628</v>
      </c>
      <c r="D99" s="1307" t="s">
        <v>1629</v>
      </c>
      <c r="E99" s="1406">
        <v>0.3</v>
      </c>
      <c r="F99" s="1393">
        <v>50</v>
      </c>
    </row>
    <row r="100" spans="1:6" s="1389" customFormat="1" ht="24">
      <c r="A100" s="1393">
        <v>40</v>
      </c>
      <c r="B100" s="3517"/>
      <c r="C100" s="1393" t="s">
        <v>1630</v>
      </c>
      <c r="D100" s="1307" t="s">
        <v>1631</v>
      </c>
      <c r="E100" s="1406">
        <v>0.2</v>
      </c>
      <c r="F100" s="1393">
        <v>30</v>
      </c>
    </row>
    <row r="101" spans="1:6" s="1389" customFormat="1" ht="36">
      <c r="A101" s="1393">
        <v>41</v>
      </c>
      <c r="B101" s="3517"/>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17" t="s">
        <v>1642</v>
      </c>
      <c r="C105" s="1393" t="s">
        <v>1643</v>
      </c>
      <c r="D105" s="1307" t="s">
        <v>1644</v>
      </c>
      <c r="E105" s="1406">
        <v>0.2</v>
      </c>
      <c r="F105" s="1393">
        <v>30</v>
      </c>
    </row>
    <row r="106" spans="1:6" s="1389" customFormat="1" ht="36">
      <c r="A106" s="1393">
        <v>46</v>
      </c>
      <c r="B106" s="3517"/>
      <c r="C106" s="1393" t="s">
        <v>1645</v>
      </c>
      <c r="D106" s="1307" t="s">
        <v>1646</v>
      </c>
      <c r="E106" s="1406">
        <v>0.2</v>
      </c>
      <c r="F106" s="1393">
        <v>30</v>
      </c>
    </row>
    <row r="107" spans="1:6" s="1389" customFormat="1" ht="36">
      <c r="A107" s="1393">
        <v>47</v>
      </c>
      <c r="B107" s="3517" t="s">
        <v>1647</v>
      </c>
      <c r="C107" s="1393" t="s">
        <v>1648</v>
      </c>
      <c r="D107" s="1307" t="s">
        <v>1649</v>
      </c>
      <c r="E107" s="1406">
        <v>0.3</v>
      </c>
      <c r="F107" s="1393">
        <v>50</v>
      </c>
    </row>
    <row r="108" spans="1:6" s="1389" customFormat="1" ht="36">
      <c r="A108" s="1393">
        <v>48</v>
      </c>
      <c r="B108" s="3517"/>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17" t="s">
        <v>1658</v>
      </c>
      <c r="C111" s="1393" t="s">
        <v>1659</v>
      </c>
      <c r="D111" s="1307" t="s">
        <v>1660</v>
      </c>
      <c r="E111" s="1406">
        <v>0.2</v>
      </c>
      <c r="F111" s="1393">
        <v>30</v>
      </c>
    </row>
    <row r="112" spans="1:6" s="1389" customFormat="1" ht="24">
      <c r="A112" s="1393">
        <v>52</v>
      </c>
      <c r="B112" s="3517"/>
      <c r="C112" s="1393" t="s">
        <v>1661</v>
      </c>
      <c r="D112" s="1307" t="s">
        <v>1662</v>
      </c>
      <c r="E112" s="1406">
        <v>0.2</v>
      </c>
      <c r="F112" s="1393">
        <v>30</v>
      </c>
    </row>
    <row r="113" spans="1:6" s="1389" customFormat="1" ht="24">
      <c r="A113" s="1393">
        <v>53</v>
      </c>
      <c r="B113" s="3517"/>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17" t="s">
        <v>1671</v>
      </c>
      <c r="C116" s="1393" t="s">
        <v>1672</v>
      </c>
      <c r="D116" s="1307" t="s">
        <v>1673</v>
      </c>
      <c r="E116" s="1406">
        <v>0.2</v>
      </c>
      <c r="F116" s="1393">
        <v>30</v>
      </c>
    </row>
    <row r="117" spans="1:6" ht="36">
      <c r="A117" s="1393">
        <v>57</v>
      </c>
      <c r="B117" s="3517"/>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41" t="s">
        <v>2579</v>
      </c>
      <c r="C1" s="3541"/>
      <c r="D1" s="3541"/>
      <c r="E1" s="3541"/>
      <c r="F1" s="3541"/>
      <c r="G1" s="3540" t="s">
        <v>2580</v>
      </c>
      <c r="H1" s="3540"/>
      <c r="I1" s="3540"/>
      <c r="J1" s="3540"/>
      <c r="K1" s="3540"/>
      <c r="L1" s="3540"/>
      <c r="N1" s="3540" t="s">
        <v>2581</v>
      </c>
      <c r="O1" s="3540"/>
      <c r="P1" s="3540"/>
      <c r="Q1" s="3540"/>
      <c r="R1" s="2663"/>
      <c r="S1" s="3540" t="s">
        <v>2582</v>
      </c>
      <c r="T1" s="3540"/>
      <c r="U1" s="3540"/>
      <c r="V1" s="3540"/>
      <c r="X1" s="3539" t="s">
        <v>2583</v>
      </c>
      <c r="Y1" s="3540"/>
      <c r="Z1" s="3540"/>
      <c r="AA1" s="3540"/>
      <c r="AB1" s="3540"/>
      <c r="AD1" s="3539" t="s">
        <v>2584</v>
      </c>
      <c r="AE1" s="3540"/>
      <c r="AF1" s="3540"/>
      <c r="AG1" s="3540"/>
      <c r="AH1" s="3540"/>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2">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7"/>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7"/>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38"/>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2">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7"/>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7"/>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38"/>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6">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7"/>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7"/>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38"/>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6">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7"/>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7"/>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38"/>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3">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4"/>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4"/>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5"/>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6">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7"/>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7"/>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38"/>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6">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7">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7">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38">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6">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7">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7">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38">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6">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7">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7">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38">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6">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7">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7">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38">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6">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7">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7">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38">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6">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7">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7">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38">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6">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7">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7">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38">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6">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7">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7">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38">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6">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7">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7">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38">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6">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7">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7">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38">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42969</v>
      </c>
      <c r="D1" s="2984" t="s">
        <v>2773</v>
      </c>
      <c r="E1" s="2990">
        <f>'数据-取费表'!B23</f>
        <v>1.5</v>
      </c>
      <c r="F1" s="2984" t="s">
        <v>2774</v>
      </c>
      <c r="G1" s="2991">
        <f ca="1">INDIRECT("d"&amp;$K$1)/100</f>
        <v>4.7500000000000001E-2</v>
      </c>
      <c r="H1" s="2984" t="s">
        <v>2804</v>
      </c>
      <c r="I1" s="2991">
        <f ca="1">F4/100</f>
        <v>1.4999999999999999E-2</v>
      </c>
      <c r="J1" s="2985">
        <f>IF(C1&gt;C13,0,MATCH(C1,C$13:C$100,-1))+IF(SUMIF(C13:C100,C1,D13:D100)=0,13,12)</f>
        <v>13</v>
      </c>
      <c r="K1" s="2985">
        <f>MATCH(E1,C3:C7,1)+IF(SUMIF(C3:C7,E1,D3:D7)=0,2,1)</f>
        <v>5</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35" t="s">
        <v>2725</v>
      </c>
      <c r="B2" s="3135"/>
      <c r="C2" s="3135"/>
      <c r="D2" s="3135"/>
      <c r="E2" s="3135"/>
    </row>
    <row r="3" spans="1:5" ht="13.5" customHeight="1">
      <c r="A3" s="1864"/>
      <c r="B3" s="1864"/>
      <c r="C3" s="1864"/>
      <c r="D3" s="1864"/>
      <c r="E3" s="1864"/>
    </row>
    <row r="4" spans="1:5" ht="19.5" thickBot="1">
      <c r="A4" s="3136" t="s">
        <v>1945</v>
      </c>
      <c r="B4" s="3136"/>
      <c r="C4" s="3136"/>
      <c r="D4" s="3136"/>
      <c r="E4" s="3136"/>
    </row>
    <row r="5" spans="1:5" ht="14.25" customHeight="1" thickTop="1">
      <c r="A5" s="1305"/>
      <c r="B5" s="1793" t="s">
        <v>1855</v>
      </c>
      <c r="C5" s="3137" t="s">
        <v>1967</v>
      </c>
      <c r="D5" s="3138"/>
      <c r="E5" s="1305"/>
    </row>
    <row r="6" spans="1:5" ht="15.75">
      <c r="A6" s="1305"/>
      <c r="B6" s="2029" t="str">
        <f>项目基本情况!I1</f>
        <v>北京市房地产</v>
      </c>
      <c r="C6" s="3139">
        <f>项目基本情况!C12</f>
        <v>80.09</v>
      </c>
      <c r="D6" s="3139"/>
      <c r="E6" s="1305"/>
    </row>
    <row r="7" spans="1:5" ht="15.75">
      <c r="A7" s="1305"/>
      <c r="B7" s="3133" t="s">
        <v>1986</v>
      </c>
      <c r="C7" s="1771" t="str">
        <f>IF('数据-取费表'!B3="万元","总价（万元）","总价（元）")</f>
        <v>总价（元）</v>
      </c>
      <c r="D7" s="3064">
        <f ca="1">IF('数据-取费表'!E3="否",结果表!I102,'结果表 (1修多)'!I103)</f>
        <v>1871543</v>
      </c>
      <c r="E7" s="1305"/>
    </row>
    <row r="8" spans="1:5" ht="31.5">
      <c r="A8" s="1305"/>
      <c r="B8" s="3133"/>
      <c r="C8" s="2813" t="s">
        <v>2745</v>
      </c>
      <c r="D8" s="3101" t="str">
        <f ca="1">IF('数据-取费表'!B3="万元",NUMBERSTRING(INT(D7*10000),2)&amp;"元整",NUMBERSTRING(INT(D7),2)&amp;"元整")</f>
        <v>壹佰捌拾柒万壹仟伍佰肆拾叁元整</v>
      </c>
      <c r="E8" s="1305"/>
    </row>
    <row r="9" spans="1:5" ht="15.75">
      <c r="A9" s="1305"/>
      <c r="B9" s="3133"/>
      <c r="C9" s="1772" t="s">
        <v>1968</v>
      </c>
      <c r="D9" s="3064">
        <f ca="1">IF('数据-取费表'!E3="否",结果表!I103,'结果表 (1修多)'!I104)</f>
        <v>23368</v>
      </c>
      <c r="E9" s="1305"/>
    </row>
    <row r="10" spans="1:5" ht="15.75">
      <c r="A10" s="1305"/>
      <c r="B10" s="3140"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40"/>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40" t="str">
        <f>IF('数据-取费表'!E3="否",结果表!F110,'结果表 (1修多)'!F111)</f>
        <v>3.房地产抵押价值</v>
      </c>
      <c r="C15" s="3072" t="str">
        <f>C7</f>
        <v>总价（元）</v>
      </c>
      <c r="D15" s="3064">
        <f ca="1">IF('数据-取费表'!E3="否",结果表!I110,'结果表 (1修多)'!I111)</f>
        <v>1871543</v>
      </c>
      <c r="E15" s="1305"/>
    </row>
    <row r="16" spans="1:5" ht="31.5">
      <c r="A16" s="1305"/>
      <c r="B16" s="3140"/>
      <c r="C16" s="2813" t="s">
        <v>2745</v>
      </c>
      <c r="D16" s="3070" t="str">
        <f ca="1">IF('数据-取费表'!B3="万元",NUMBERSTRING(INT(D15*10000),2)&amp;"元整",NUMBERSTRING(INT(D15),2)&amp;"元整")</f>
        <v>壹佰捌拾柒万壹仟伍佰肆拾叁元整</v>
      </c>
      <c r="E16" s="1305"/>
    </row>
    <row r="17" spans="1:5" ht="15.75">
      <c r="A17" s="1305"/>
      <c r="B17" s="3140"/>
      <c r="C17" s="1772" t="s">
        <v>1968</v>
      </c>
      <c r="D17" s="3064">
        <f ca="1">IF('数据-取费表'!E3="否",结果表!I111,'结果表 (1修多)'!I112)</f>
        <v>23368</v>
      </c>
      <c r="E17" s="1305"/>
    </row>
    <row r="18" spans="1:5" ht="15.75">
      <c r="A18" s="1305"/>
      <c r="B18" s="3140" t="str">
        <f>IF('数据-取费表'!E3="否",结果表!F112,'结果表 (1修多)'!F113)</f>
        <v>——</v>
      </c>
      <c r="C18" s="3072" t="str">
        <f>C7</f>
        <v>总价（元）</v>
      </c>
      <c r="D18" s="3064" t="str">
        <f>IF('数据-取费表'!E3="否",结果表!I112,'结果表 (1修多)'!I113)</f>
        <v>——</v>
      </c>
      <c r="E18" s="1305"/>
    </row>
    <row r="19" spans="1:5" ht="14.25">
      <c r="A19" s="1305"/>
      <c r="B19" s="3140"/>
      <c r="C19" s="2813" t="s">
        <v>2745</v>
      </c>
      <c r="D19" s="3065" t="e">
        <f>IF('数据-取费表'!B3="万元",NUMBERSTRING(INT(D18*10000),2)&amp;"元整",NUMBERSTRING(INT(D18),2)&amp;"元整")</f>
        <v>#VALUE!</v>
      </c>
      <c r="E19" s="1305"/>
    </row>
    <row r="20" spans="1:5" ht="15.75">
      <c r="A20" s="1305"/>
      <c r="B20" s="3140"/>
      <c r="C20" s="1772" t="s">
        <v>1968</v>
      </c>
      <c r="D20" s="3064" t="str">
        <f>IF('数据-取费表'!E3="否",结果表!I113,'结果表 (1修多)'!I114)</f>
        <v>——</v>
      </c>
      <c r="E20" s="1305"/>
    </row>
    <row r="21" spans="1:5" ht="15.75">
      <c r="A21" s="1305"/>
      <c r="B21" s="3133" t="str">
        <f>IF('数据-取费表'!E3="否",结果表!F114,'结果表 (1修多)'!F115)</f>
        <v>——</v>
      </c>
      <c r="C21" s="1771" t="str">
        <f>C7</f>
        <v>总价（元）</v>
      </c>
      <c r="D21" s="3064" t="str">
        <f>IF('数据-取费表'!E3="否",结果表!I114,'结果表 (1修多)'!I115)</f>
        <v>——</v>
      </c>
      <c r="E21" s="1305"/>
    </row>
    <row r="22" spans="1:5" ht="14.25">
      <c r="A22" s="1305"/>
      <c r="B22" s="3133"/>
      <c r="C22" s="2813" t="s">
        <v>2745</v>
      </c>
      <c r="D22" s="3063" t="e">
        <f>IF('数据-取费表'!B3="万元",NUMBERSTRING(INT(D21*10000),2)&amp;"元整",NUMBERSTRING(INT(D21),2)&amp;"元整")</f>
        <v>#VALUE!</v>
      </c>
      <c r="E22" s="1305"/>
    </row>
    <row r="23" spans="1:5" ht="15.75" thickBot="1">
      <c r="A23" s="1305"/>
      <c r="B23" s="3134"/>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48" t="s">
        <v>2720</v>
      </c>
      <c r="C25" s="3148"/>
      <c r="D25" s="3148"/>
      <c r="E25" s="1305"/>
    </row>
    <row r="26" spans="1:5" ht="18.75" customHeight="1" thickTop="1">
      <c r="A26" s="1305"/>
      <c r="B26" s="3151" t="s">
        <v>2744</v>
      </c>
      <c r="C26" s="3152"/>
      <c r="D26" s="3149" t="s">
        <v>2743</v>
      </c>
      <c r="E26" s="1305"/>
    </row>
    <row r="27" spans="1:5" ht="18.75" customHeight="1">
      <c r="A27" s="1305"/>
      <c r="B27" s="3153"/>
      <c r="C27" s="3154"/>
      <c r="D27" s="3150"/>
      <c r="E27" s="1305"/>
    </row>
    <row r="28" spans="1:5" ht="15.75">
      <c r="A28" s="1305"/>
      <c r="B28" s="3141" t="s">
        <v>1986</v>
      </c>
      <c r="C28" s="2831" t="s">
        <v>2746</v>
      </c>
      <c r="D28" s="2832">
        <f ca="1">IF('数据-取费表'!E3="否",结果表!I102,'结果表 (1修多)'!I103)</f>
        <v>1871543</v>
      </c>
      <c r="E28" s="1305"/>
    </row>
    <row r="29" spans="1:5" ht="28.5">
      <c r="A29" s="1305"/>
      <c r="B29" s="3142"/>
      <c r="C29" s="2833" t="s">
        <v>2745</v>
      </c>
      <c r="D29" s="2834" t="str">
        <f ca="1">IF('数据-取费表'!B3="万元",NUMBERSTRING(INT(D28*10000),2)&amp;"元整",NUMBERSTRING(INT(D28),2)&amp;"元整")</f>
        <v>壹佰捌拾柒万壹仟伍佰肆拾叁元整</v>
      </c>
      <c r="E29" s="1305"/>
    </row>
    <row r="30" spans="1:5" ht="15">
      <c r="A30" s="1305"/>
      <c r="B30" s="3143"/>
      <c r="C30" s="1772" t="s">
        <v>2748</v>
      </c>
      <c r="D30" s="2809">
        <f ca="1">IF('数据-取费表'!E3="否",结果表!I103,'结果表 (1修多)'!I104)</f>
        <v>23368</v>
      </c>
      <c r="E30" s="1305"/>
    </row>
    <row r="31" spans="1:5" ht="15.75">
      <c r="A31" s="1305"/>
      <c r="B31" s="3146" t="str">
        <f>B10</f>
        <v>2.估价师所知悉的法定优先受偿款</v>
      </c>
      <c r="C31" s="2812" t="s">
        <v>2747</v>
      </c>
      <c r="D31" s="2810">
        <f>IF('数据-取费表'!E3="否",结果表!I105,'结果表 (1修多)'!I106)</f>
        <v>0</v>
      </c>
      <c r="E31" s="1305"/>
    </row>
    <row r="32" spans="1:5" ht="14.25">
      <c r="A32" s="1305"/>
      <c r="B32" s="3155"/>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44" t="str">
        <f>B15</f>
        <v>3.房地产抵押价值</v>
      </c>
      <c r="C36" s="2812" t="str">
        <f>C28</f>
        <v>总价</v>
      </c>
      <c r="D36" s="2810">
        <f ca="1">IF('数据-取费表'!E3="否",结果表!I110,'结果表 (1修多)'!I111)</f>
        <v>1871543</v>
      </c>
      <c r="E36" s="1305"/>
    </row>
    <row r="37" spans="1:5" ht="28.5">
      <c r="A37" s="1305"/>
      <c r="B37" s="3144"/>
      <c r="C37" s="2833" t="s">
        <v>2745</v>
      </c>
      <c r="D37" s="2835" t="str">
        <f ca="1">IF('数据-取费表'!B3="万元",NUMBERSTRING(INT(D36*10000),2)&amp;"元整",NUMBERSTRING(INT(D36),2)&amp;"元整")</f>
        <v>壹佰捌拾柒万壹仟伍佰肆拾叁元整</v>
      </c>
      <c r="E37" s="1305"/>
    </row>
    <row r="38" spans="1:5" ht="15">
      <c r="A38" s="1305"/>
      <c r="B38" s="3144"/>
      <c r="C38" s="1772" t="s">
        <v>2749</v>
      </c>
      <c r="D38" s="2809">
        <f ca="1">IF('数据-取费表'!E3="否",结果表!D113,'结果表 (1修多)'!D116)</f>
        <v>23368</v>
      </c>
      <c r="E38" s="1305"/>
    </row>
    <row r="39" spans="1:5" ht="15.75">
      <c r="A39" s="1305"/>
      <c r="B39" s="3145" t="str">
        <f>B18</f>
        <v>——</v>
      </c>
      <c r="C39" s="2812" t="str">
        <f>C28</f>
        <v>总价</v>
      </c>
      <c r="D39" s="2810" t="str">
        <f>IF('数据-取费表'!E3="否",结果表!I112,'结果表 (1修多)'!I113)</f>
        <v>——</v>
      </c>
      <c r="E39" s="1305"/>
    </row>
    <row r="40" spans="1:5" ht="14.25">
      <c r="A40" s="1305"/>
      <c r="B40" s="3145"/>
      <c r="C40" s="2833" t="s">
        <v>2745</v>
      </c>
      <c r="D40" s="2835" t="e">
        <f>IF('数据-取费表'!B3="万元",NUMBERSTRING(INT(D39*10000),2)&amp;"元整",NUMBERSTRING(INT(D39),2)&amp;"元整")</f>
        <v>#VALUE!</v>
      </c>
      <c r="E40" s="1305"/>
    </row>
    <row r="41" spans="1:5" ht="15">
      <c r="A41" s="1305"/>
      <c r="B41" s="3145"/>
      <c r="C41" s="1772" t="s">
        <v>2749</v>
      </c>
      <c r="D41" s="2809" t="str">
        <f>IF('数据-取费表'!E3="否",结果表!D115,'结果表 (1修多)'!D118)</f>
        <v>——</v>
      </c>
      <c r="E41" s="1305"/>
    </row>
    <row r="42" spans="1:5" ht="15.75">
      <c r="A42" s="1305"/>
      <c r="B42" s="3144" t="str">
        <f>B21</f>
        <v>——</v>
      </c>
      <c r="C42" s="2812" t="str">
        <f>C28</f>
        <v>总价</v>
      </c>
      <c r="D42" s="2810" t="str">
        <f>IF('数据-取费表'!E3="否",结果表!I114,'结果表 (1修多)'!I115)</f>
        <v>——</v>
      </c>
      <c r="E42" s="1305"/>
    </row>
    <row r="43" spans="1:5" ht="14.25">
      <c r="A43" s="1305"/>
      <c r="B43" s="3146"/>
      <c r="C43" s="2833" t="s">
        <v>2745</v>
      </c>
      <c r="D43" s="2836" t="e">
        <f>IF('数据-取费表'!B3="万元",NUMBERSTRING(INT(D42*10000),2)&amp;"元整",NUMBERSTRING(INT(D42),2)&amp;"元整")</f>
        <v>#VALUE!</v>
      </c>
      <c r="E43" s="1305"/>
    </row>
    <row r="44" spans="1:5" ht="15.75" thickBot="1">
      <c r="A44" s="1305"/>
      <c r="B44" s="3147"/>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2" t="s">
        <v>1969</v>
      </c>
      <c r="B1" s="3162"/>
      <c r="C1" s="3162"/>
      <c r="D1" s="3162"/>
      <c r="E1" s="3162"/>
      <c r="F1" s="3162"/>
      <c r="G1" s="3162"/>
      <c r="H1" s="3162"/>
      <c r="I1" s="3162"/>
    </row>
    <row r="2" spans="1:9" ht="30" customHeight="1" thickTop="1">
      <c r="A2" s="3163" t="s">
        <v>3</v>
      </c>
      <c r="B2" s="3163" t="s">
        <v>1882</v>
      </c>
      <c r="C2" s="3163" t="s">
        <v>2738</v>
      </c>
      <c r="D2" s="3163" t="str">
        <f>IF('数据-取费表'!E3="否",结果表!D119,'结果表 (1修多)'!D122)</f>
        <v>划拨国有建设用地使用权价值</v>
      </c>
      <c r="E2" s="3163"/>
      <c r="F2" s="3163" t="s">
        <v>680</v>
      </c>
      <c r="G2" s="3163"/>
      <c r="H2" s="3163" t="s">
        <v>4</v>
      </c>
      <c r="I2" s="3163"/>
    </row>
    <row r="3" spans="1:9" ht="14.25">
      <c r="A3" s="3158"/>
      <c r="B3" s="3158"/>
      <c r="C3" s="3158"/>
      <c r="D3" s="1727" t="s">
        <v>5</v>
      </c>
      <c r="E3" s="1727" t="s">
        <v>699</v>
      </c>
      <c r="F3" s="1727" t="s">
        <v>5</v>
      </c>
      <c r="G3" s="1727" t="s">
        <v>6</v>
      </c>
      <c r="H3" s="1727" t="s">
        <v>5</v>
      </c>
      <c r="I3" s="1727" t="s">
        <v>6</v>
      </c>
    </row>
    <row r="4" spans="1:9" ht="46.5" customHeight="1">
      <c r="A4" s="1727" t="str">
        <f>项目基本情况!I1</f>
        <v>北京市房地产</v>
      </c>
      <c r="B4" s="1766">
        <f>结果表!B121</f>
        <v>80.09</v>
      </c>
      <c r="C4" s="1766">
        <f>结果表!C121</f>
        <v>0</v>
      </c>
      <c r="D4" s="1766">
        <f>IF('数据-取费表'!E3="否",结果表!D121,'结果表 (1修多)'!D124)</f>
        <v>0</v>
      </c>
      <c r="E4" s="1766">
        <f>IF('数据-取费表'!E3="否",结果表!E121,'结果表 (1修多)'!E124)</f>
        <v>0</v>
      </c>
      <c r="F4" s="1766">
        <f>IF('数据-取费表'!E3="否",结果表!F121,'结果表 (1修多)'!F124)</f>
        <v>0</v>
      </c>
      <c r="G4" s="1766">
        <f>IF('数据-取费表'!E3="否",结果表!G121,'结果表 (1修多)'!G124)</f>
        <v>0</v>
      </c>
      <c r="H4" s="1766">
        <f ca="1">IF('数据-取费表'!E3="否",结果表!H121,'结果表 (1修多)'!H124)</f>
        <v>1871543</v>
      </c>
      <c r="I4" s="1766">
        <f ca="1">IF('数据-取费表'!E3="否",结果表!I121,'结果表 (1修多)'!I124)</f>
        <v>23368</v>
      </c>
    </row>
    <row r="5" spans="1:9" ht="14.25">
      <c r="A5" s="3158" t="s">
        <v>7</v>
      </c>
      <c r="B5" s="3158"/>
      <c r="C5" s="3158"/>
      <c r="D5" s="3156" t="str">
        <f>IF('数据-取费表'!E3="否",结果表!D122,'结果表 (1修多)'!D125)</f>
        <v>零元整</v>
      </c>
      <c r="E5" s="3156"/>
      <c r="F5" s="3156" t="str">
        <f>IF('数据-取费表'!E3="否",结果表!F122,'结果表 (1修多)'!F125)</f>
        <v>零元整</v>
      </c>
      <c r="G5" s="3156"/>
      <c r="H5" s="3156" t="str">
        <f ca="1">IF('数据-取费表'!E3="否",结果表!H122,'结果表 (1修多)'!H125)</f>
        <v>壹佰捌拾柒万壹仟伍佰肆拾叁元整</v>
      </c>
      <c r="I5" s="3156"/>
    </row>
    <row r="6" spans="1:9" ht="15.75">
      <c r="A6" s="3157" t="str">
        <f>IF('数据-取费表'!E3="否",结果表!A123,'结果表 (1修多)'!A126)</f>
        <v>估价师所知悉的法定优先受偿款</v>
      </c>
      <c r="B6" s="3157"/>
      <c r="C6" s="3157"/>
      <c r="D6" s="3139">
        <f>IF('数据-取费表'!E3="否",结果表!D123,'结果表 (1修多)'!D126)</f>
        <v>0</v>
      </c>
      <c r="E6" s="3139"/>
      <c r="F6" s="3139"/>
      <c r="G6" s="3139"/>
      <c r="H6" s="3139"/>
      <c r="I6" s="3139"/>
    </row>
    <row r="7" spans="1:9" ht="14.25">
      <c r="A7" s="3158" t="s">
        <v>7</v>
      </c>
      <c r="B7" s="3158"/>
      <c r="C7" s="3158"/>
      <c r="D7" s="3159">
        <f>IF('数据-取费表'!E3="否",结果表!D124,'结果表 (1修多)'!D127)</f>
        <v>0</v>
      </c>
      <c r="E7" s="3160"/>
      <c r="F7" s="3160"/>
      <c r="G7" s="3160"/>
      <c r="H7" s="3160"/>
      <c r="I7" s="3161"/>
    </row>
    <row r="8" spans="1:9" ht="15.75">
      <c r="A8" s="3157" t="str">
        <f>IF('数据-取费表'!E3="否",结果表!A125,'结果表 (1修多)'!A128)</f>
        <v>房地产抵押价值</v>
      </c>
      <c r="B8" s="3157"/>
      <c r="C8" s="3157"/>
      <c r="D8" s="3139">
        <f ca="1">IF('数据-取费表'!E3="否",结果表!D125,'结果表 (1修多)'!D128)</f>
        <v>1871543</v>
      </c>
      <c r="E8" s="3139"/>
      <c r="F8" s="3139"/>
      <c r="G8" s="3139"/>
      <c r="H8" s="3139"/>
      <c r="I8" s="3139"/>
    </row>
    <row r="9" spans="1:9" ht="14.25">
      <c r="A9" s="3158" t="s">
        <v>7</v>
      </c>
      <c r="B9" s="3158"/>
      <c r="C9" s="3158"/>
      <c r="D9" s="3156">
        <f ca="1">IF('数据-取费表'!E3="否",结果表!D126,'结果表 (1修多)'!D129)</f>
        <v>23368</v>
      </c>
      <c r="E9" s="3156"/>
      <c r="F9" s="3156"/>
      <c r="G9" s="3156"/>
      <c r="H9" s="3156"/>
      <c r="I9" s="3156"/>
    </row>
    <row r="10" spans="1:9" ht="15.75">
      <c r="A10" s="3157" t="str">
        <f>IF('数据-取费表'!E3="否",结果表!A127,'结果表 (1修多)'!A130)</f>
        <v/>
      </c>
      <c r="B10" s="3157"/>
      <c r="C10" s="3157"/>
      <c r="D10" s="3139" t="str">
        <f>IF('数据-取费表'!E3="否",结果表!D127,'结果表 (1修多)'!D129)</f>
        <v>——</v>
      </c>
      <c r="E10" s="3139"/>
      <c r="F10" s="3139"/>
      <c r="G10" s="3139"/>
      <c r="H10" s="3139"/>
      <c r="I10" s="3139"/>
    </row>
    <row r="11" spans="1:9" ht="14.25">
      <c r="A11" s="3158" t="s">
        <v>7</v>
      </c>
      <c r="B11" s="3158"/>
      <c r="C11" s="3158"/>
      <c r="D11" s="3156" t="str">
        <f>IF('数据-取费表'!E3="否",结果表!D128,'结果表 (1修多)'!D131)</f>
        <v>——</v>
      </c>
      <c r="E11" s="3156"/>
      <c r="F11" s="3156"/>
      <c r="G11" s="3156"/>
      <c r="H11" s="3156"/>
      <c r="I11" s="3156"/>
    </row>
    <row r="12" spans="1:9" ht="15.75">
      <c r="A12" s="3157" t="str">
        <f>IF('数据-取费表'!E3="否",结果表!A129,'结果表 (1修多)'!A132)</f>
        <v/>
      </c>
      <c r="B12" s="3157"/>
      <c r="C12" s="3157"/>
      <c r="D12" s="3139" t="str">
        <f>IF('数据-取费表'!E3="否",结果表!D129,'结果表 (1修多)'!D132)</f>
        <v>——</v>
      </c>
      <c r="E12" s="3139"/>
      <c r="F12" s="3139"/>
      <c r="G12" s="3139"/>
      <c r="H12" s="3139"/>
      <c r="I12" s="3139"/>
    </row>
    <row r="13" spans="1:9" ht="15" thickBot="1">
      <c r="A13" s="3164" t="s">
        <v>7</v>
      </c>
      <c r="B13" s="3164"/>
      <c r="C13" s="3164"/>
      <c r="D13" s="3165">
        <f>IF('数据-取费表'!E3="否",结果表!D130,'结果表 (1修多)'!D133)</f>
        <v>0</v>
      </c>
      <c r="E13" s="3165"/>
      <c r="F13" s="3165"/>
      <c r="G13" s="3165"/>
      <c r="H13" s="3165"/>
      <c r="I13" s="3165"/>
    </row>
    <row r="14" spans="1:9" ht="14.25" thickTop="1">
      <c r="A14" s="3166" t="str">
        <f>IF('数据-取费表'!E3="否",结果表!A131,'结果表 (1修多)'!A134)</f>
        <v>单位：平方米、元、元/平方米（币种：人民币）</v>
      </c>
      <c r="B14" s="3166"/>
      <c r="C14" s="3166"/>
      <c r="D14" s="3166"/>
      <c r="E14" s="3166"/>
      <c r="F14" s="3166"/>
      <c r="G14" s="3166"/>
      <c r="H14" s="3166"/>
      <c r="I14" s="3166"/>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2" t="s">
        <v>2750</v>
      </c>
      <c r="B1" s="3172"/>
      <c r="C1" s="3172"/>
      <c r="D1" s="3172"/>
    </row>
    <row r="2" spans="1:4" ht="18.75">
      <c r="A2" s="3171" t="s">
        <v>1987</v>
      </c>
      <c r="B2" s="3171"/>
      <c r="C2" s="3171"/>
      <c r="D2" s="3171"/>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71" t="s">
        <v>2518</v>
      </c>
      <c r="B7" s="3171"/>
      <c r="C7" s="3171"/>
      <c r="D7" s="3171"/>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73" t="s">
        <v>2578</v>
      </c>
      <c r="B12" s="3174"/>
      <c r="C12" s="3174"/>
      <c r="D12" s="3174"/>
    </row>
    <row r="13" spans="1:4" ht="14.25">
      <c r="A13" s="3167" t="str">
        <f>IF(项目基本情况!D4="抵押","2.本《评估意见函》仅供金融机构进行内部审核使用，不做其他目的之用。","——")</f>
        <v>——</v>
      </c>
      <c r="B13" s="3169"/>
      <c r="C13" s="3169"/>
      <c r="D13" s="3169"/>
    </row>
    <row r="14" spans="1:4" ht="30" customHeight="1">
      <c r="A14" s="3167" t="str">
        <f>IF(项目基本情况!D4="抵押","3.抵押双方在办理抵押登记手续时，应使用本公司出具的正式《房地产评估报告》，特提醒报告使用者注意。","——")</f>
        <v>——</v>
      </c>
      <c r="B14" s="3169"/>
      <c r="C14" s="3169"/>
      <c r="D14" s="3169"/>
    </row>
    <row r="15" spans="1:4" ht="15.75" customHeight="1">
      <c r="A15" s="3167" t="str">
        <f>IF(项目基本情况!D4="抵押","4.本次评估估价师所知悉的法定优先受偿款情况说明如下：","——")</f>
        <v>——</v>
      </c>
      <c r="B15" s="3169"/>
      <c r="C15" s="3169"/>
      <c r="D15" s="3169"/>
    </row>
    <row r="16" spans="1:4" ht="75" customHeight="1">
      <c r="A16" s="3167" t="str">
        <f>IF(项目基本情况!D4="抵押",CONCATENATE(项目基本情况!J13,项目基本情况!J14,项目基本情况!J15),"——")</f>
        <v>——</v>
      </c>
      <c r="B16" s="3167"/>
      <c r="C16" s="3167"/>
      <c r="D16" s="3167"/>
    </row>
    <row r="17" spans="1:4" ht="63.75" customHeight="1">
      <c r="A17" s="3170" t="s">
        <v>2006</v>
      </c>
      <c r="B17" s="3170"/>
      <c r="C17" s="3170"/>
      <c r="D17" s="3170"/>
    </row>
    <row r="18" spans="1:4" ht="15.75" customHeight="1">
      <c r="A18" s="3167" t="str">
        <f>IF(项目基本情况!D4="抵押",结果表!K106,"——")</f>
        <v>——</v>
      </c>
      <c r="B18" s="3167"/>
      <c r="C18" s="3167"/>
      <c r="D18" s="3167"/>
    </row>
    <row r="19" spans="1:4" ht="46.5" customHeight="1">
      <c r="A19" s="3167"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67"/>
      <c r="C19" s="3167"/>
      <c r="D19" s="3167"/>
    </row>
    <row r="20" spans="1:4" ht="15">
      <c r="A20" s="3168" t="s">
        <v>2722</v>
      </c>
      <c r="B20" s="3168"/>
      <c r="C20" s="3168"/>
      <c r="D20" s="3168"/>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0" t="s">
        <v>558</v>
      </c>
      <c r="B15" s="3175" t="s">
        <v>1046</v>
      </c>
      <c r="C15" s="3176"/>
    </row>
    <row r="16" spans="1:7" ht="13.5">
      <c r="A16" s="3181"/>
      <c r="B16" s="3175" t="s">
        <v>544</v>
      </c>
      <c r="C16" s="3176"/>
    </row>
    <row r="17" spans="1:3" ht="13.5">
      <c r="A17" s="3181"/>
      <c r="B17" s="3175" t="s">
        <v>1899</v>
      </c>
      <c r="C17" s="3176"/>
    </row>
    <row r="18" spans="1:3" ht="13.5">
      <c r="A18" s="3182"/>
      <c r="B18" s="3177" t="s">
        <v>559</v>
      </c>
      <c r="C18" s="3176"/>
    </row>
    <row r="19" spans="1:3" ht="13.5">
      <c r="A19" s="1015" t="s">
        <v>560</v>
      </c>
      <c r="B19" s="1016"/>
      <c r="C19" s="1017"/>
    </row>
    <row r="20" spans="1:3" ht="13.5">
      <c r="A20" s="3178" t="s">
        <v>561</v>
      </c>
      <c r="B20" s="3177" t="s">
        <v>562</v>
      </c>
      <c r="C20" s="3176"/>
    </row>
    <row r="21" spans="1:3" ht="13.5">
      <c r="A21" s="3178"/>
      <c r="B21" s="3177" t="s">
        <v>563</v>
      </c>
      <c r="C21" s="3176"/>
    </row>
    <row r="22" spans="1:3" ht="13.5">
      <c r="A22" s="3178"/>
      <c r="B22" s="3177" t="s">
        <v>564</v>
      </c>
      <c r="C22" s="3176"/>
    </row>
    <row r="23" spans="1:3" ht="13.5">
      <c r="A23" s="3178"/>
      <c r="B23" s="3179" t="s">
        <v>565</v>
      </c>
      <c r="C23" s="1014" t="s">
        <v>566</v>
      </c>
    </row>
    <row r="24" spans="1:3" ht="13.5">
      <c r="A24" s="3178"/>
      <c r="B24" s="3179"/>
      <c r="C24" s="1014" t="s">
        <v>567</v>
      </c>
    </row>
    <row r="25" spans="1:3" ht="13.5">
      <c r="A25" s="3178"/>
      <c r="B25" s="3179"/>
      <c r="C25" s="1014" t="s">
        <v>568</v>
      </c>
    </row>
    <row r="26" spans="1:3" ht="13.5">
      <c r="A26" s="3178"/>
      <c r="B26" s="3179"/>
      <c r="C26" s="1014" t="s">
        <v>569</v>
      </c>
    </row>
    <row r="27" spans="1:3" ht="13.5">
      <c r="A27" s="3178"/>
      <c r="B27" s="3179"/>
      <c r="C27" s="1014" t="s">
        <v>570</v>
      </c>
    </row>
    <row r="28" spans="1:3" ht="13.5">
      <c r="A28" s="3178"/>
      <c r="B28" s="3179"/>
      <c r="C28" s="1014" t="s">
        <v>571</v>
      </c>
    </row>
    <row r="29" spans="1:3" ht="13.5">
      <c r="A29" s="3178"/>
      <c r="B29" s="3179"/>
      <c r="C29" s="1014" t="s">
        <v>572</v>
      </c>
    </row>
    <row r="30" spans="1:3" ht="13.5">
      <c r="A30" s="3178"/>
      <c r="B30" s="3179"/>
      <c r="C30" s="1014" t="s">
        <v>573</v>
      </c>
    </row>
    <row r="31" spans="1:3" ht="13.5">
      <c r="A31" s="3178"/>
      <c r="B31" s="3179"/>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43020</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t="str">
        <f ca="1">IF(C16&lt;B2,"已过期",1120140022)</f>
        <v>已过期</v>
      </c>
      <c r="C16" s="2994">
        <v>42987</v>
      </c>
      <c r="D16" s="2995" t="str">
        <f t="shared" ca="1" si="0"/>
        <v>刘梅（注册号：已过期）</v>
      </c>
      <c r="E16" s="2993" t="s">
        <v>1925</v>
      </c>
      <c r="F16" s="1735">
        <f ca="1">IF(G16&lt;B2,"已过期",2008110059)</f>
        <v>2008110059</v>
      </c>
      <c r="G16" s="1743">
        <v>47177</v>
      </c>
      <c r="H16" s="2996" t="str">
        <f t="shared" ca="1" si="1"/>
        <v>刘梅（注册号：2008110059）</v>
      </c>
    </row>
    <row r="17" spans="1:8" ht="24" customHeight="1">
      <c r="A17" s="2993" t="s">
        <v>1926</v>
      </c>
      <c r="B17" s="1735" t="str">
        <f ca="1">IF(C17&lt;B2,"已过期",1120140020)</f>
        <v>已过期</v>
      </c>
      <c r="C17" s="2994">
        <v>42987</v>
      </c>
      <c r="D17" s="2995" t="str">
        <f t="shared" ca="1" si="0"/>
        <v>杨爽（注册号：已过期）</v>
      </c>
      <c r="E17" s="2993"/>
      <c r="F17" s="1735" t="s">
        <v>1923</v>
      </c>
      <c r="G17" s="1743" t="s">
        <v>1923</v>
      </c>
      <c r="H17" s="2996" t="str">
        <f t="shared" si="1"/>
        <v>（注册号：——）</v>
      </c>
    </row>
    <row r="18" spans="1:8" ht="24" customHeight="1">
      <c r="A18" s="2993" t="s">
        <v>1927</v>
      </c>
      <c r="B18" s="1735" t="str">
        <f ca="1">IF(C18&lt;B2,"已过期",1120140024)</f>
        <v>已过期</v>
      </c>
      <c r="C18" s="2994">
        <v>42987</v>
      </c>
      <c r="D18" s="2995" t="str">
        <f t="shared" ca="1" si="0"/>
        <v>高鹏（注册号：已过期）</v>
      </c>
      <c r="E18" s="2993" t="s">
        <v>1927</v>
      </c>
      <c r="F18" s="1735">
        <f ca="1">IF(G18&lt;B2,"已过期",2011110048)</f>
        <v>2011110048</v>
      </c>
      <c r="G18" s="1743">
        <v>48302</v>
      </c>
      <c r="H18" s="2996" t="str">
        <f t="shared" ca="1" si="1"/>
        <v>高鹏（注册号：2011110048）</v>
      </c>
    </row>
    <row r="19" spans="1:8" ht="24" customHeight="1">
      <c r="A19" s="2993" t="s">
        <v>1928</v>
      </c>
      <c r="B19" s="1735" t="str">
        <f ca="1">IF(C19&lt;B2,"已过期",1120140019)</f>
        <v>已过期</v>
      </c>
      <c r="C19" s="2994">
        <v>42987</v>
      </c>
      <c r="D19" s="2995" t="str">
        <f t="shared" ca="1" si="0"/>
        <v>马帅（注册号：已过期）</v>
      </c>
      <c r="E19" s="2993"/>
      <c r="F19" s="1735"/>
      <c r="G19" s="1735"/>
      <c r="H19" s="2996" t="str">
        <f t="shared" si="1"/>
        <v>（注册号：）</v>
      </c>
    </row>
    <row r="20" spans="1:8" ht="24" customHeight="1">
      <c r="A20" s="2993" t="s">
        <v>1929</v>
      </c>
      <c r="B20" s="1735" t="str">
        <f ca="1">IF(C20&lt;B2,"已过期",1120140023)</f>
        <v>已过期</v>
      </c>
      <c r="C20" s="2994">
        <v>42987</v>
      </c>
      <c r="D20" s="2995" t="str">
        <f t="shared" ca="1" si="0"/>
        <v>吴铭（注册号：已过期）</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3" t="s">
        <v>1933</v>
      </c>
      <c r="B25" s="3183"/>
      <c r="C25" s="3183"/>
      <c r="D25" s="3183"/>
      <c r="E25" s="3183"/>
      <c r="F25" s="3183"/>
      <c r="G25" s="3183"/>
      <c r="H25" s="3183"/>
    </row>
    <row r="26" spans="1:8" s="1738" customFormat="1" ht="24" customHeight="1">
      <c r="A26" s="3184" t="s">
        <v>1934</v>
      </c>
      <c r="B26" s="3184"/>
      <c r="C26" s="3184"/>
      <c r="D26" s="1812"/>
      <c r="E26" s="1812"/>
      <c r="F26" s="3184" t="s">
        <v>1935</v>
      </c>
      <c r="G26" s="3184"/>
      <c r="H26" s="3184"/>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5"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本次估价的“房地产价值”是指在正常市场情况下，在价值时点2017年8月22日，估价对象规划用途为，假定未设立法定优先受偿款下的房地产市场价值。</v>
      </c>
    </row>
    <row r="54" spans="1:4">
      <c r="A54" s="3185"/>
      <c r="B54" s="1024" t="s">
        <v>1961</v>
      </c>
      <c r="C54" s="1024" t="s">
        <v>2726</v>
      </c>
    </row>
    <row r="55" spans="1:4">
      <c r="A55" s="3185"/>
      <c r="B55" s="1024" t="s">
        <v>1956</v>
      </c>
      <c r="C55" s="1024" t="s">
        <v>2727</v>
      </c>
    </row>
    <row r="56" spans="1:4">
      <c r="A56" s="3185"/>
      <c r="B56" s="1024" t="s">
        <v>1957</v>
      </c>
      <c r="C56" s="1024" t="s">
        <v>2751</v>
      </c>
    </row>
    <row r="57" spans="1:4">
      <c r="A57" s="3185"/>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2017-09-18T13:29:02Z</cp:lastPrinted>
  <dcterms:created xsi:type="dcterms:W3CDTF">2015-07-13T07:17:23Z</dcterms:created>
  <dcterms:modified xsi:type="dcterms:W3CDTF">2017-10-12T01:13:19Z</dcterms:modified>
</cp:coreProperties>
</file>