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停车场0.1)" sheetId="12" state="hidden" r:id="rId18"/>
    <sheet name="剩余法-现房" sheetId="43" state="hidden" r:id="rId19"/>
    <sheet name="比较法-住宅、综合" sheetId="39" state="hidden" r:id="rId20"/>
    <sheet name="比较法-工业" sheetId="40" state="hidden" r:id="rId21"/>
    <sheet name="基准地价（娱乐）" sheetId="46" state="hidden" r:id="rId22"/>
    <sheet name="修正" sheetId="49" state="hidden" r:id="rId23"/>
    <sheet name="区片价" sheetId="48" state="hidden" r:id="rId24"/>
    <sheet name="容积率修正" sheetId="45" state="hidden" r:id="rId25"/>
    <sheet name="因素修正幅度" sheetId="56" state="hidden" r:id="rId26"/>
    <sheet name="基准地价（旅馆）" sheetId="69" state="hidden" r:id="rId27"/>
    <sheet name="基准地价（停车场0.3)" sheetId="70" r:id="rId28"/>
    <sheet name="地价" sheetId="59" r:id="rId29"/>
    <sheet name="基准地价（汇总）" sheetId="67" state="hidden" r:id="rId30"/>
    <sheet name="收益还原法" sheetId="44" state="hidden" r:id="rId31"/>
    <sheet name="不动产收益法" sheetId="15" r:id="rId32"/>
    <sheet name="酒店收入计算" sheetId="57" state="hidden"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土地案例" sheetId="71" r:id="rId42"/>
    <sheet name="中指案例" sheetId="68" r:id="rId43"/>
    <sheet name="存贷款利率" sheetId="65" state="hidden"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'不动产比较法-办公'!$B$119:$M$119</definedName>
    <definedName name="办公朝向" localSheetId="41">'[2]不动产比较法-办公'!$B$91:$M$91</definedName>
    <definedName name="办公朝向">'不动产比较法-办公'!$B$91:$M$91</definedName>
    <definedName name="办公道路级别" localSheetId="41">'[2]不动产比较法-办公'!$B$87:$M$87</definedName>
    <definedName name="办公道路级别">'不动产比较法-办公'!$B$87:$M$87</definedName>
    <definedName name="办公公共部分装修" localSheetId="41">'[2]不动产比较法-办公'!$B$108:$M$108</definedName>
    <definedName name="办公公共部分装修">'不动产比较法-办公'!$B$108:$M$108</definedName>
    <definedName name="办公基础设施水平" localSheetId="41">'[2]不动产比较法-办公'!$B$117:$M$117</definedName>
    <definedName name="办公基础设施水平">'不动产比较法-办公'!$B$117:$M$117</definedName>
    <definedName name="办公集聚程度" localSheetId="41">[2]定义!$M$1:$M$6</definedName>
    <definedName name="办公集聚程度">定义!$M$1:$M$6</definedName>
    <definedName name="办公建筑结构" localSheetId="41">'[2]不动产比较法-办公'!$B$106:$M$106</definedName>
    <definedName name="办公建筑结构">'不动产比较法-办公'!$B$106:$M$106</definedName>
    <definedName name="办公建筑类型" localSheetId="41">'[2]不动产比较法-办公'!$B$101:$M$101</definedName>
    <definedName name="办公建筑类型">'不动产比较法-办公'!$B$101:$M$101</definedName>
    <definedName name="办公交易情况" localSheetId="41">'[2]不动产比较法-办公'!$A$62:$M$62</definedName>
    <definedName name="办公交易情况">'不动产比较法-办公'!$A$62:$M$62</definedName>
    <definedName name="办公楼层" localSheetId="41">'[2]不动产比较法-办公'!$B$89:$M$89</definedName>
    <definedName name="办公楼层">'不动产比较法-办公'!$B$89:$M$89</definedName>
    <definedName name="办公内部装修" localSheetId="41">'[2]不动产比较法-办公'!$B$123:$M$123</definedName>
    <definedName name="办公内部装修">'不动产比较法-办公'!$B$123:$M$123</definedName>
    <definedName name="办公物业管理" localSheetId="41">'[2]不动产比较法-办公'!$B$115:$M$115</definedName>
    <definedName name="办公物业管理">'不动产比较法-办公'!$B$115:$M$115</definedName>
    <definedName name="办公用途" localSheetId="41">'[2]不动产比较法-办公'!$B$64:$M$64</definedName>
    <definedName name="办公用途">'不动产比较法-办公'!$B$64:$M$64</definedName>
    <definedName name="仓储公共部分装修" localSheetId="41">'[2]不动产比较法-仓储'!$B$77:$M$77</definedName>
    <definedName name="仓储公共部分装修">'不动产比较法-仓储'!$B$77:$M$77</definedName>
    <definedName name="仓储交易情况" localSheetId="41">'[2]不动产比较法-仓储'!$A$49:$M$49</definedName>
    <definedName name="仓储交易情况">'不动产比较法-仓储'!$A$49:$M$49</definedName>
    <definedName name="仓储楼层" localSheetId="41">'[2]不动产比较法-仓储'!$B$69:$M$69</definedName>
    <definedName name="仓储楼层">'不动产比较法-仓储'!$B$69:$M$69</definedName>
    <definedName name="仓储物业等级" localSheetId="41">'[2]不动产比较法-仓储'!$B$82:$M$82</definedName>
    <definedName name="仓储物业等级">'不动产比较法-仓储'!$B$82:$M$82</definedName>
    <definedName name="仓储用途" localSheetId="41">'[2]不动产比较法-仓储'!$B$51:$M$51</definedName>
    <definedName name="仓储用途">'不动产比较法-仓储'!$B$51:$M$51</definedName>
    <definedName name="产业集聚程度" localSheetId="41">[2]定义!$N$1:$N$6</definedName>
    <definedName name="产业集聚程度">定义!$N$1:$N$6</definedName>
    <definedName name="车位公共部分装修" localSheetId="41">'[2]不动产比较法-车位'!$B$83:$M$83</definedName>
    <definedName name="车位公共部分装修">'不动产比较法-车位'!$B$83:$M$83</definedName>
    <definedName name="车位交易情况" localSheetId="41">'[2]不动产比较法-车位'!$A$51:$M$51</definedName>
    <definedName name="车位交易情况">'不动产比较法-车位'!$A$51:$M$51</definedName>
    <definedName name="车位类型" localSheetId="41">'[2]不动产比较法-车位'!$B$93:$M$93</definedName>
    <definedName name="车位类型">'不动产比较法-车位'!$B$93:$M$93</definedName>
    <definedName name="车位楼层" localSheetId="41">'[2]不动产比较法-车位'!$B$71:$M$71</definedName>
    <definedName name="车位楼层">'不动产比较法-车位'!$B$71:$M$71</definedName>
    <definedName name="车位配套类型" localSheetId="41">'[2]不动产比较法-车位'!$B$79:$M$79</definedName>
    <definedName name="车位配套类型">'不动产比较法-车位'!$B$79:$M$79</definedName>
    <definedName name="车位物业等级" localSheetId="41">'[2]不动产比较法-车位'!$B$88:$M$88</definedName>
    <definedName name="车位物业等级">'不动产比较法-车位'!$B$88:$M$88</definedName>
    <definedName name="车位用途" localSheetId="41">'[2]不动产比较法-车位'!$B$53:$M$53</definedName>
    <definedName name="车位用途">'不动产比较法-车位'!$B$53:$M$53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区片价!$J$1:$J$20</definedName>
    <definedName name="二级分类" localSheetId="41">[2]修正!$C$17:$C$39</definedName>
    <definedName name="二级分类">修正!$C$17:$C$39</definedName>
    <definedName name="法定最高年限" localSheetId="41">[2]定义!$G$2:$G$4</definedName>
    <definedName name="法定最高年限">定义!$G$2:$G$4</definedName>
    <definedName name="工业公共部分装修" localSheetId="41">'[2]不动产比较法-工业'!$B$95:$M$95</definedName>
    <definedName name="工业公共部分装修">'不动产比较法-工业'!$B$95:$M$95</definedName>
    <definedName name="工业基础设施水平" localSheetId="41">'[2]不动产比较法-工业'!$B$102:$M$102</definedName>
    <definedName name="工业基础设施水平">'不动产比较法-工业'!$B$102:$M$102</definedName>
    <definedName name="工业建筑结构" localSheetId="41">'[2]不动产比较法-工业'!$B$93:$M$93</definedName>
    <definedName name="工业建筑结构">'不动产比较法-工业'!$B$93:$M$93</definedName>
    <definedName name="工业建筑类型" localSheetId="41">'[2]不动产比较法-工业'!$B$88:$M$88</definedName>
    <definedName name="工业建筑类型">'不动产比较法-工业'!$B$88:$M$88</definedName>
    <definedName name="工业交易情况" localSheetId="41">'[2]不动产比较法-工业'!$A$55:$M$55</definedName>
    <definedName name="工业交易情况">'不动产比较法-工业'!$A$55:$M$55</definedName>
    <definedName name="工业内部装修" localSheetId="41">'[2]不动产比较法-工业'!$B$104:$M$104</definedName>
    <definedName name="工业内部装修">'不动产比较法-工业'!$B$104:$M$104</definedName>
    <definedName name="工业物业管理" localSheetId="41">'[2]不动产比较法-工业'!$B$100:$M$100</definedName>
    <definedName name="工业物业管理">'不动产比较法-工业'!$B$100:$M$100</definedName>
    <definedName name="工业用途" localSheetId="41">'[2]不动产比较法-工业'!$B$57:$M$57</definedName>
    <definedName name="工业用途">'不动产比较法-工业'!$B$57:$M$57</definedName>
    <definedName name="公共配套设施" localSheetId="41">[2]定义!$Q$1:$Q$6</definedName>
    <definedName name="公共配套设施">定义!$Q$1:$Q$6</definedName>
    <definedName name="公用设施及基础设施水平">[1]定义!$Q$1:$Q$6</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26">'基准地价（旅馆）'!$N$19:$AB$19</definedName>
    <definedName name="季度" localSheetId="27">'基准地价（停车场0.3)'!$N$19:$AB$19</definedName>
    <definedName name="季度">'基准地价（娱乐）'!$N$19:$AB$19</definedName>
    <definedName name="季度2014">地价!$A$2:$A$27</definedName>
    <definedName name="价值类型2" localSheetId="41">[2]定义!$B$54:$B$56</definedName>
    <definedName name="价值类型2">定义!$B$54:$B$56</definedName>
    <definedName name="交通便捷度" localSheetId="41">[2]定义!$O$1:$O$6</definedName>
    <definedName name="交通便捷度">定义!$O$1:$O$6</definedName>
    <definedName name="九级">区片价!$Q$1:$Q$46</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区片价!$N$1:$N$49</definedName>
    <definedName name="内部装修维护情况" localSheetId="41">[2]定义!$U$1:$U$6</definedName>
    <definedName name="内部装修维护情况">定义!$U$1:$U$6</definedName>
    <definedName name="判定" localSheetId="41">[2]定义!$D$1:$D$4</definedName>
    <definedName name="判定">定义!$D$1:$D$4</definedName>
    <definedName name="七级">区片价!$O$1:$O$49</definedName>
    <definedName name="七通一平" localSheetId="41">[2]修正!$A$6:$A$14</definedName>
    <definedName name="七通一平">修正!$A$6:$A$14</definedName>
    <definedName name="区域土地利用方向" localSheetId="41">[2]定义!$P$1:$P$6</definedName>
    <definedName name="区域土地利用方向">定义!$P$1:$P$6</definedName>
    <definedName name="三级">区片价!$K$1:$K$21</definedName>
    <definedName name="商业层高" localSheetId="41">'[2]不动产比较法-商业'!$B$116:$M$116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定义!$L$1:$L$6</definedName>
    <definedName name="商业公共部分装修" localSheetId="41">'[2]不动产比较法-商业'!$B$107:$M$107</definedName>
    <definedName name="商业公共部分装修">'不动产比较法-商业'!$B$107:$M$107</definedName>
    <definedName name="商业基础设施水平" localSheetId="41">'[2]不动产比较法-商业'!$B$112:$M$112</definedName>
    <definedName name="商业基础设施水平">'不动产比较法-商业'!$B$112:$M$112</definedName>
    <definedName name="商业建筑结构" localSheetId="41">'[2]不动产比较法-商业'!$B$105:$M$105</definedName>
    <definedName name="商业建筑结构">'不动产比较法-商业'!$B$105:$M$105</definedName>
    <definedName name="商业交易情况" localSheetId="41">'[2]不动产比较法-商业'!$A$61:$M$61</definedName>
    <definedName name="商业交易情况">'不动产比较法-商业'!$A$61:$M$61</definedName>
    <definedName name="商业街名称" localSheetId="41">[2]修正!$C$59:$C$119</definedName>
    <definedName name="商业街名称">修正!$C$59:$C$119</definedName>
    <definedName name="商业进深比" localSheetId="41">'[2]不动产比较法-商业'!$B$120:$M$120</definedName>
    <definedName name="商业进深比">'不动产比较法-商业'!$B$120:$M$120</definedName>
    <definedName name="商业类型" localSheetId="41">'[2]不动产比较法-商业'!$B$100:$M$100</definedName>
    <definedName name="商业类型">'不动产比较法-商业'!$B$100:$M$100</definedName>
    <definedName name="商业临街状况" localSheetId="41">'[2]不动产比较法-商业'!$B$86:$M$86</definedName>
    <definedName name="商业临街状况">'不动产比较法-商业'!$B$86:$M$86</definedName>
    <definedName name="商业楼层" localSheetId="41">'[2]不动产比较法-商业'!$B$92:$M$92</definedName>
    <definedName name="商业楼层">'不动产比较法-商业'!$B$92:$M$92</definedName>
    <definedName name="商业内部装修" localSheetId="41">'[2]不动产比较法-商业'!$B$122:$M$122</definedName>
    <definedName name="商业内部装修">'不动产比较法-商业'!$B$122:$M$122</definedName>
    <definedName name="商业人流量" localSheetId="41">'[2]不动产比较法-商业'!$B$90:$M$90</definedName>
    <definedName name="商业人流量">'不动产比较法-商业'!$B$90:$M$90</definedName>
    <definedName name="商业业态" localSheetId="41">'[2]不动产比较法-商业'!$B$114:$M$114</definedName>
    <definedName name="商业业态">'不动产比较法-商业'!$B$114:$M$114</definedName>
    <definedName name="商业用途" localSheetId="41">'[2]不动产比较法-商业'!$B$63:$M$63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'不动产比较法-仓储'!$B$89:$M$89</definedName>
    <definedName name="是否直接入户" localSheetId="41">'[2]不动产比较法-车位'!$B$95:$M$95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'比较法-工业'!$B$116:$M$116</definedName>
    <definedName name="套工交易情况" localSheetId="41">'[2]比较法-住宅、综合'!$A$75:$M$75</definedName>
    <definedName name="套工交易情况">'比较法-住宅、综合'!$A$75:$M$75</definedName>
    <definedName name="套工开发程度" localSheetId="41">'[2]比较法-工业'!$B$114:$M$114</definedName>
    <definedName name="套工开发程度">'比较法-工业'!$B$114:$M$114</definedName>
    <definedName name="套工临街等级" localSheetId="41">'[2]比较法-工业'!$B$99:$M$99</definedName>
    <definedName name="套工临街等级">'比较法-工业'!$B$99:$M$99</definedName>
    <definedName name="套工土地级别" localSheetId="41">'[2]比较法-工业'!$B$101:$M$101</definedName>
    <definedName name="套工土地级别">'比较法-工业'!$B$101:$M$101</definedName>
    <definedName name="套工用途" localSheetId="41">'[2]比较法-工业'!$B$72:$M$72</definedName>
    <definedName name="套工用途">'比较法-工业'!$B$72:$M$72</definedName>
    <definedName name="套工宗地形状" localSheetId="41">'[2]比较法-工业'!$B$112:$M$112</definedName>
    <definedName name="套工宗地形状">'比较法-工业'!$B$112:$M$112</definedName>
    <definedName name="套综道路等级" localSheetId="41">'[2]比较法-住宅、综合'!$B$108:$M$108</definedName>
    <definedName name="套综道路等级">'比较法-住宅、综合'!$B$108:$M$108</definedName>
    <definedName name="套综工程地质条件" localSheetId="41">'[2]比较法-住宅、综合'!$B$127:$M$127</definedName>
    <definedName name="套综工程地质条件">'比较法-住宅、综合'!$B$127:$M$127</definedName>
    <definedName name="套综交易情况" localSheetId="41">'[2]比较法-住宅、综合'!$A$75:$M$75</definedName>
    <definedName name="套综交易情况">'比较法-住宅、综合'!$A$75:$M$75</definedName>
    <definedName name="套综临街宽度及深度" localSheetId="41">'[2]比较法-住宅、综合'!$B$123:$M$123</definedName>
    <definedName name="套综临街宽度及深度">'比较法-住宅、综合'!$B$123:$M$123</definedName>
    <definedName name="套综土地级别" localSheetId="41">'[2]比较法-住宅、综合'!$B$110:$M$110</definedName>
    <definedName name="套综土地级别">'比较法-住宅、综合'!$B$110:$M$110</definedName>
    <definedName name="套综用途" localSheetId="41">'[2]比较法-住宅、综合'!$B$77:$M$77</definedName>
    <definedName name="套综用途">'比较法-住宅、综合'!$B$77:$M$77</definedName>
    <definedName name="套综宗地内开发程度" localSheetId="41">'[2]比较法-住宅、综合'!$B$125:$M$125</definedName>
    <definedName name="套综宗地内开发程度">'比较法-住宅、综合'!$B$125:$M$125</definedName>
    <definedName name="套综宗地形状" localSheetId="41">'[2]比较法-住宅、综合'!$B$121:$M$121</definedName>
    <definedName name="套综宗地形状">'比较法-住宅、综合'!$B$121:$M$121</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定义!$P$1:$P$6</definedName>
    <definedName name="土地年限区间" localSheetId="41">[2]定义!$I$1:$I$8</definedName>
    <definedName name="土地年限区间">定义!$I$1:$I$8</definedName>
    <definedName name="位置" localSheetId="41">[2]定义!$E$2:$E$4</definedName>
    <definedName name="位置">定义!$E$2:$E$4</definedName>
    <definedName name="五等判定" localSheetId="41">[2]定义!$W$1:$W$6</definedName>
    <definedName name="五等判定">定义!$W$1:$W$6</definedName>
    <definedName name="五级">区片价!$M$1:$M$35</definedName>
    <definedName name="项目类型" localSheetId="41">'[2]数据-汇总表'!$C$17:$C$26</definedName>
    <definedName name="项目类型">'数据-汇总表'!$C$17:$C$26</definedName>
    <definedName name="写字楼等级" localSheetId="41">'[2]不动产比较法-办公'!$B$113:$M$113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类型" localSheetId="41">[2]定义!$A$1:$A$50</definedName>
    <definedName name="用途类型">定义!$A$1:$A$50</definedName>
    <definedName name="有无电梯" localSheetId="41">'[2]不动产比较法-仓储'!$B$84:$M$84</definedName>
    <definedName name="有无电梯">'不动产比较法-仓储'!$B$84:$M$84</definedName>
    <definedName name="主用途" localSheetId="41">[2]定义!$F$1:$F$10</definedName>
    <definedName name="主用途">定义!$F$1:$F$10</definedName>
    <definedName name="住宅朝向" localSheetId="41">'[2]不动产比较法-住宅'!$B$88:$M$88</definedName>
    <definedName name="住宅朝向">'不动产比较法-住宅'!$B$88:$M$88</definedName>
    <definedName name="住宅房型" localSheetId="41">'[2]不动产比较法-住宅'!$B$118:$M$118</definedName>
    <definedName name="住宅房型">'不动产比较法-住宅'!$B$118:$M$118</definedName>
    <definedName name="住宅公共部分装修" localSheetId="41">'[2]不动产比较法-住宅'!$B$109:$M$109</definedName>
    <definedName name="住宅公共部分装修">'不动产比较法-住宅'!$B$109:$M$109</definedName>
    <definedName name="住宅基础设施水平" localSheetId="41">'[2]不动产比较法-住宅'!$B$116:$M$116</definedName>
    <definedName name="住宅基础设施水平">'不动产比较法-住宅'!$B$116:$M$116</definedName>
    <definedName name="住宅建筑结构" localSheetId="41">'[2]不动产比较法-住宅'!$B$105:$M$105</definedName>
    <definedName name="住宅建筑结构">'不动产比较法-住宅'!$B$105:$M$105</definedName>
    <definedName name="住宅建筑类型" localSheetId="41">'[2]不动产比较法-住宅'!$B$100:$M$100</definedName>
    <definedName name="住宅建筑类型">'不动产比较法-住宅'!$B$100:$M$100</definedName>
    <definedName name="住宅建筑品质" localSheetId="41">'[2]不动产比较法-住宅'!$B$107:$M$107</definedName>
    <definedName name="住宅建筑品质">'不动产比较法-住宅'!$B$107:$M$107</definedName>
    <definedName name="住宅交易情况" localSheetId="41">'[2]不动产比较法-住宅'!$A$61:$M$61</definedName>
    <definedName name="住宅交易情况">'不动产比较法-住宅'!$A$61:$M$61</definedName>
    <definedName name="住宅楼层" localSheetId="41">'[2]不动产比较法-住宅'!$B$86:$M$86</definedName>
    <definedName name="住宅楼层">'不动产比较法-住宅'!$B$86:$M$86</definedName>
    <definedName name="住宅内部装修" localSheetId="41">'[2]不动产比较法-住宅'!$B$122:$M$122</definedName>
    <definedName name="住宅内部装修">'不动产比较法-住宅'!$B$122:$M$122</definedName>
    <definedName name="住宅物业管理" localSheetId="41">'[2]不动产比较法-住宅'!$B$114:$M$114</definedName>
    <definedName name="住宅物业管理">'不动产比较法-住宅'!$B$114:$M$114</definedName>
    <definedName name="住宅用途" localSheetId="41">'[2]不动产比较法-住宅'!$B$63:$M$63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C8" i="11" l="1"/>
  <c r="N33" i="71"/>
  <c r="M33" i="71"/>
  <c r="L33" i="71"/>
  <c r="K33" i="71"/>
  <c r="N32" i="71"/>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B34" i="1" l="1"/>
  <c r="B33" i="1"/>
  <c r="B30" i="1"/>
  <c r="B28" i="1"/>
  <c r="B27" i="1"/>
  <c r="B20" i="1"/>
  <c r="B19" i="1"/>
  <c r="D29" i="70" l="1"/>
  <c r="F1" i="70"/>
  <c r="F113" i="70"/>
  <c r="N99" i="70"/>
  <c r="M99" i="70"/>
  <c r="L99" i="70"/>
  <c r="K99" i="70"/>
  <c r="J99" i="70"/>
  <c r="I99" i="70"/>
  <c r="H99" i="70"/>
  <c r="G99" i="70"/>
  <c r="F99" i="70"/>
  <c r="E99" i="70"/>
  <c r="D99" i="70"/>
  <c r="D108" i="70" s="1"/>
  <c r="C99" i="70"/>
  <c r="N87" i="70"/>
  <c r="M87" i="70"/>
  <c r="K87" i="70"/>
  <c r="J87" i="70" s="1"/>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N81" i="70"/>
  <c r="M81" i="70"/>
  <c r="K81" i="70"/>
  <c r="J81" i="70" s="1"/>
  <c r="D81" i="70"/>
  <c r="B81" i="70"/>
  <c r="N80" i="70"/>
  <c r="M80" i="70"/>
  <c r="K80" i="70"/>
  <c r="J80" i="70" s="1"/>
  <c r="F80" i="70"/>
  <c r="H87" i="70" s="1"/>
  <c r="E80" i="70"/>
  <c r="B78" i="70" s="1"/>
  <c r="D80" i="70"/>
  <c r="B80" i="70"/>
  <c r="N77" i="70"/>
  <c r="M77" i="70"/>
  <c r="K77" i="70"/>
  <c r="J77" i="70" s="1"/>
  <c r="D77" i="70"/>
  <c r="M76" i="70"/>
  <c r="N76" i="70" s="1"/>
  <c r="K76" i="70"/>
  <c r="J76" i="70"/>
  <c r="D76" i="70"/>
  <c r="B76" i="70"/>
  <c r="N75" i="70"/>
  <c r="M75" i="70"/>
  <c r="K75" i="70"/>
  <c r="J75" i="70" s="1"/>
  <c r="D75" i="70"/>
  <c r="N74" i="70"/>
  <c r="M74" i="70"/>
  <c r="K74" i="70"/>
  <c r="J74" i="70" s="1"/>
  <c r="D74" i="70"/>
  <c r="B74" i="70"/>
  <c r="N73" i="70"/>
  <c r="M73" i="70"/>
  <c r="K73" i="70"/>
  <c r="J73" i="70" s="1"/>
  <c r="D73" i="70"/>
  <c r="B73" i="70"/>
  <c r="N72" i="70"/>
  <c r="M72" i="70"/>
  <c r="K72" i="70"/>
  <c r="J72" i="70" s="1"/>
  <c r="D72" i="70"/>
  <c r="B72" i="70"/>
  <c r="N71" i="70"/>
  <c r="M71" i="70"/>
  <c r="K71" i="70"/>
  <c r="J71" i="70" s="1"/>
  <c r="D71" i="70"/>
  <c r="B71" i="70"/>
  <c r="N70" i="70"/>
  <c r="M70" i="70"/>
  <c r="K70" i="70"/>
  <c r="J70" i="70" s="1"/>
  <c r="D70" i="70"/>
  <c r="B70" i="70"/>
  <c r="N69" i="70"/>
  <c r="M69" i="70"/>
  <c r="K69" i="70"/>
  <c r="J69" i="70" s="1"/>
  <c r="F69" i="70"/>
  <c r="H77" i="70" s="1"/>
  <c r="D69" i="70"/>
  <c r="E69" i="70" s="1"/>
  <c r="B67" i="70" s="1"/>
  <c r="B69" i="70"/>
  <c r="M66" i="70"/>
  <c r="N66" i="70" s="1"/>
  <c r="K66" i="70"/>
  <c r="J66" i="70"/>
  <c r="D66" i="70"/>
  <c r="B66" i="70"/>
  <c r="N65" i="70"/>
  <c r="M65" i="70"/>
  <c r="K65" i="70"/>
  <c r="J65" i="70" s="1"/>
  <c r="D65" i="70"/>
  <c r="B65" i="70"/>
  <c r="M64" i="70"/>
  <c r="N64" i="70" s="1"/>
  <c r="K64" i="70"/>
  <c r="J64" i="70"/>
  <c r="D64" i="70"/>
  <c r="B64" i="70"/>
  <c r="N63" i="70"/>
  <c r="M63" i="70"/>
  <c r="K63" i="70"/>
  <c r="J63" i="70" s="1"/>
  <c r="D63" i="70"/>
  <c r="N62" i="70"/>
  <c r="M62" i="70"/>
  <c r="K62" i="70"/>
  <c r="J62" i="70" s="1"/>
  <c r="D62" i="70"/>
  <c r="B62" i="70"/>
  <c r="M61" i="70"/>
  <c r="N61" i="70" s="1"/>
  <c r="K61" i="70"/>
  <c r="J61" i="70"/>
  <c r="D61" i="70"/>
  <c r="M60" i="70"/>
  <c r="N60" i="70" s="1"/>
  <c r="K60" i="70"/>
  <c r="J60" i="70"/>
  <c r="D60" i="70"/>
  <c r="B60" i="70"/>
  <c r="N59" i="70"/>
  <c r="M59" i="70"/>
  <c r="K59" i="70"/>
  <c r="J59" i="70" s="1"/>
  <c r="D59" i="70"/>
  <c r="B59" i="70"/>
  <c r="M58" i="70"/>
  <c r="N58" i="70" s="1"/>
  <c r="K58" i="70"/>
  <c r="J58" i="70"/>
  <c r="D58" i="70"/>
  <c r="E58" i="70" s="1"/>
  <c r="B56" i="70" s="1"/>
  <c r="B58" i="70"/>
  <c r="M55" i="70"/>
  <c r="N55" i="70" s="1"/>
  <c r="K55" i="70"/>
  <c r="J55" i="70"/>
  <c r="D55" i="70"/>
  <c r="B55" i="70"/>
  <c r="N54" i="70"/>
  <c r="M54" i="70"/>
  <c r="K54" i="70"/>
  <c r="J54" i="70" s="1"/>
  <c r="D54" i="70"/>
  <c r="B54" i="70"/>
  <c r="M53" i="70"/>
  <c r="N53" i="70" s="1"/>
  <c r="K53" i="70"/>
  <c r="J53" i="70"/>
  <c r="D53" i="70"/>
  <c r="B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B48" i="70"/>
  <c r="M47" i="70"/>
  <c r="N47" i="70" s="1"/>
  <c r="K47" i="70"/>
  <c r="J47" i="70"/>
  <c r="D47" i="70"/>
  <c r="E47" i="70" s="1"/>
  <c r="B45" i="70" s="1"/>
  <c r="C24" i="70" s="1"/>
  <c r="B47" i="70"/>
  <c r="H39" i="70"/>
  <c r="H38" i="70"/>
  <c r="H37" i="70"/>
  <c r="H36" i="70"/>
  <c r="H35" i="70"/>
  <c r="H34" i="70"/>
  <c r="H33" i="70"/>
  <c r="J20" i="70"/>
  <c r="I20" i="70"/>
  <c r="M19" i="70"/>
  <c r="I19" i="70"/>
  <c r="G19" i="70"/>
  <c r="P25" i="70" s="1"/>
  <c r="C18" i="70"/>
  <c r="C16" i="70"/>
  <c r="F15" i="70"/>
  <c r="E15" i="70"/>
  <c r="D15" i="70"/>
  <c r="C15" i="70"/>
  <c r="AJ12" i="70"/>
  <c r="AH12" i="70"/>
  <c r="AF12" i="70"/>
  <c r="AD12" i="70"/>
  <c r="AB12" i="70"/>
  <c r="Z12" i="70"/>
  <c r="Y12" i="70"/>
  <c r="C12" i="70"/>
  <c r="Y10" i="70"/>
  <c r="C10" i="70"/>
  <c r="C11" i="70" s="1"/>
  <c r="AJ9" i="70"/>
  <c r="AJ10" i="70" s="1"/>
  <c r="AI9" i="70"/>
  <c r="AI12" i="70" s="1"/>
  <c r="AH9" i="70"/>
  <c r="AH10" i="70" s="1"/>
  <c r="AG9" i="70"/>
  <c r="AG12" i="70" s="1"/>
  <c r="AF9" i="70"/>
  <c r="AF10" i="70" s="1"/>
  <c r="AE9" i="70"/>
  <c r="AE12" i="70" s="1"/>
  <c r="AD9" i="70"/>
  <c r="AD10" i="70" s="1"/>
  <c r="AC9" i="70"/>
  <c r="AC12" i="70" s="1"/>
  <c r="AB9" i="70"/>
  <c r="AB10" i="70" s="1"/>
  <c r="AA9" i="70"/>
  <c r="AA12" i="70" s="1"/>
  <c r="Z9" i="70"/>
  <c r="Z10" i="70" s="1"/>
  <c r="C9" i="70"/>
  <c r="C7" i="70"/>
  <c r="A7" i="70"/>
  <c r="G3" i="70"/>
  <c r="I2" i="70"/>
  <c r="M2" i="70" s="1"/>
  <c r="G2" i="70"/>
  <c r="N1" i="70"/>
  <c r="D1" i="70"/>
  <c r="G17" i="4"/>
  <c r="F21" i="6"/>
  <c r="F20" i="6"/>
  <c r="C20" i="6"/>
  <c r="F113" i="69"/>
  <c r="N99" i="69"/>
  <c r="M99" i="69"/>
  <c r="L99" i="69"/>
  <c r="K99" i="69"/>
  <c r="J99" i="69"/>
  <c r="I99" i="69"/>
  <c r="H99" i="69"/>
  <c r="G99" i="69"/>
  <c r="F99" i="69"/>
  <c r="E99" i="69"/>
  <c r="D99" i="69"/>
  <c r="D108" i="69" s="1"/>
  <c r="C99" i="69"/>
  <c r="N87" i="69"/>
  <c r="M87" i="69"/>
  <c r="K87" i="69"/>
  <c r="J87" i="69" s="1"/>
  <c r="D87" i="69"/>
  <c r="B87" i="69"/>
  <c r="N86" i="69"/>
  <c r="M86" i="69"/>
  <c r="K86" i="69"/>
  <c r="J86" i="69" s="1"/>
  <c r="D86" i="69"/>
  <c r="N85" i="69"/>
  <c r="M85" i="69"/>
  <c r="K85" i="69"/>
  <c r="J85" i="69" s="1"/>
  <c r="D85" i="69"/>
  <c r="B85" i="69"/>
  <c r="N84" i="69"/>
  <c r="M84" i="69"/>
  <c r="K84" i="69"/>
  <c r="J84" i="69" s="1"/>
  <c r="D84" i="69"/>
  <c r="B84" i="69"/>
  <c r="N83" i="69"/>
  <c r="M83" i="69"/>
  <c r="K83" i="69"/>
  <c r="J83" i="69" s="1"/>
  <c r="D83" i="69"/>
  <c r="B83" i="69"/>
  <c r="N82" i="69"/>
  <c r="M82" i="69"/>
  <c r="K82" i="69"/>
  <c r="J82" i="69" s="1"/>
  <c r="D82" i="69"/>
  <c r="B82" i="69"/>
  <c r="N81" i="69"/>
  <c r="M81" i="69"/>
  <c r="K81" i="69"/>
  <c r="J81" i="69" s="1"/>
  <c r="D81" i="69"/>
  <c r="B81" i="69"/>
  <c r="N80" i="69"/>
  <c r="M80" i="69"/>
  <c r="K80" i="69"/>
  <c r="J80" i="69" s="1"/>
  <c r="F80" i="69"/>
  <c r="H87" i="69" s="1"/>
  <c r="D80" i="69"/>
  <c r="E80" i="69" s="1"/>
  <c r="B78" i="69" s="1"/>
  <c r="B80" i="69"/>
  <c r="M77" i="69"/>
  <c r="N77" i="69" s="1"/>
  <c r="K77" i="69"/>
  <c r="J77" i="69"/>
  <c r="D77" i="69"/>
  <c r="M76" i="69"/>
  <c r="N76" i="69" s="1"/>
  <c r="K76" i="69"/>
  <c r="J76" i="69"/>
  <c r="D76" i="69"/>
  <c r="B76" i="69"/>
  <c r="N75" i="69"/>
  <c r="M75" i="69"/>
  <c r="K75" i="69"/>
  <c r="J75" i="69" s="1"/>
  <c r="D75" i="69"/>
  <c r="N74" i="69"/>
  <c r="M74" i="69"/>
  <c r="K74" i="69"/>
  <c r="J74" i="69" s="1"/>
  <c r="D74" i="69"/>
  <c r="B74" i="69"/>
  <c r="M73" i="69"/>
  <c r="N73" i="69" s="1"/>
  <c r="K73" i="69"/>
  <c r="J73" i="69"/>
  <c r="D73" i="69"/>
  <c r="B73" i="69"/>
  <c r="N72" i="69"/>
  <c r="M72" i="69"/>
  <c r="K72" i="69"/>
  <c r="J72" i="69" s="1"/>
  <c r="D72" i="69"/>
  <c r="B72" i="69"/>
  <c r="M71" i="69"/>
  <c r="N71" i="69" s="1"/>
  <c r="K71" i="69"/>
  <c r="J71" i="69"/>
  <c r="D71" i="69"/>
  <c r="B71" i="69"/>
  <c r="N70" i="69"/>
  <c r="M70" i="69"/>
  <c r="K70" i="69"/>
  <c r="J70" i="69" s="1"/>
  <c r="D70" i="69"/>
  <c r="B70" i="69"/>
  <c r="M69" i="69"/>
  <c r="N69" i="69" s="1"/>
  <c r="K69" i="69"/>
  <c r="J69" i="69"/>
  <c r="F69" i="69"/>
  <c r="H77" i="69" s="1"/>
  <c r="D69" i="69"/>
  <c r="E69" i="69" s="1"/>
  <c r="B67" i="69" s="1"/>
  <c r="B69" i="69"/>
  <c r="M66" i="69"/>
  <c r="N66" i="69" s="1"/>
  <c r="K66" i="69"/>
  <c r="J66" i="69"/>
  <c r="D66" i="69"/>
  <c r="B66" i="69"/>
  <c r="N65" i="69"/>
  <c r="M65" i="69"/>
  <c r="K65" i="69"/>
  <c r="J65" i="69" s="1"/>
  <c r="D65" i="69"/>
  <c r="B65" i="69"/>
  <c r="M64" i="69"/>
  <c r="N64" i="69" s="1"/>
  <c r="K64" i="69"/>
  <c r="J64" i="69"/>
  <c r="D64" i="69"/>
  <c r="B64" i="69"/>
  <c r="N63" i="69"/>
  <c r="M63" i="69"/>
  <c r="K63" i="69"/>
  <c r="J63" i="69" s="1"/>
  <c r="D63" i="69"/>
  <c r="N62" i="69"/>
  <c r="M62" i="69"/>
  <c r="K62" i="69"/>
  <c r="J62" i="69" s="1"/>
  <c r="D62" i="69"/>
  <c r="B62" i="69"/>
  <c r="M61" i="69"/>
  <c r="N61" i="69" s="1"/>
  <c r="K61" i="69"/>
  <c r="J61" i="69"/>
  <c r="D61" i="69"/>
  <c r="M60" i="69"/>
  <c r="N60" i="69" s="1"/>
  <c r="K60" i="69"/>
  <c r="J60" i="69"/>
  <c r="D60" i="69"/>
  <c r="B60" i="69"/>
  <c r="N59" i="69"/>
  <c r="M59" i="69"/>
  <c r="K59" i="69"/>
  <c r="J59" i="69" s="1"/>
  <c r="D59" i="69"/>
  <c r="B59" i="69"/>
  <c r="M58" i="69"/>
  <c r="N58" i="69" s="1"/>
  <c r="K58" i="69"/>
  <c r="J58" i="69"/>
  <c r="D58" i="69"/>
  <c r="E58" i="69" s="1"/>
  <c r="B56" i="69" s="1"/>
  <c r="C24" i="69" s="1"/>
  <c r="B58" i="69"/>
  <c r="M55" i="69"/>
  <c r="N55" i="69" s="1"/>
  <c r="K55" i="69"/>
  <c r="J55" i="69"/>
  <c r="D55" i="69"/>
  <c r="B55" i="69"/>
  <c r="N54" i="69"/>
  <c r="M54" i="69"/>
  <c r="K54" i="69"/>
  <c r="J54" i="69" s="1"/>
  <c r="D54" i="69"/>
  <c r="B54" i="69"/>
  <c r="M53" i="69"/>
  <c r="N53" i="69" s="1"/>
  <c r="K53" i="69"/>
  <c r="J53" i="69"/>
  <c r="D53" i="69"/>
  <c r="B53" i="69"/>
  <c r="N52" i="69"/>
  <c r="M52" i="69"/>
  <c r="K52" i="69"/>
  <c r="J52" i="69" s="1"/>
  <c r="D52" i="69"/>
  <c r="N51" i="69"/>
  <c r="M51" i="69"/>
  <c r="K51" i="69"/>
  <c r="J51" i="69" s="1"/>
  <c r="D51" i="69"/>
  <c r="B51" i="69"/>
  <c r="M50" i="69"/>
  <c r="N50" i="69" s="1"/>
  <c r="K50" i="69"/>
  <c r="J50" i="69"/>
  <c r="D50" i="69"/>
  <c r="M49" i="69"/>
  <c r="N49" i="69" s="1"/>
  <c r="K49" i="69"/>
  <c r="J49" i="69"/>
  <c r="D49" i="69"/>
  <c r="B49" i="69"/>
  <c r="N48" i="69"/>
  <c r="M48" i="69"/>
  <c r="K48" i="69"/>
  <c r="J48" i="69" s="1"/>
  <c r="D48" i="69"/>
  <c r="B48" i="69"/>
  <c r="M47" i="69"/>
  <c r="N47" i="69" s="1"/>
  <c r="K47" i="69"/>
  <c r="J47" i="69"/>
  <c r="D47" i="69"/>
  <c r="E47" i="69" s="1"/>
  <c r="B45" i="69" s="1"/>
  <c r="B47" i="69"/>
  <c r="H39" i="69"/>
  <c r="H38" i="69"/>
  <c r="H37" i="69"/>
  <c r="H36" i="69"/>
  <c r="H35" i="69"/>
  <c r="H34" i="69"/>
  <c r="H33" i="69"/>
  <c r="P25" i="69"/>
  <c r="P21" i="69"/>
  <c r="M20" i="69"/>
  <c r="J20" i="69"/>
  <c r="O19" i="69"/>
  <c r="M19" i="69"/>
  <c r="I19" i="69"/>
  <c r="G19" i="69"/>
  <c r="P24" i="69" s="1"/>
  <c r="C19" i="69"/>
  <c r="C18" i="69"/>
  <c r="C16" i="69"/>
  <c r="F15" i="69"/>
  <c r="E15" i="69"/>
  <c r="D15" i="69"/>
  <c r="C15" i="69"/>
  <c r="C12" i="69" s="1"/>
  <c r="Y12" i="69"/>
  <c r="Y10" i="69"/>
  <c r="C10" i="69"/>
  <c r="C11" i="69" s="1"/>
  <c r="E11" i="69" s="1"/>
  <c r="AJ9" i="69"/>
  <c r="AJ12" i="69" s="1"/>
  <c r="AI9" i="69"/>
  <c r="AH9" i="69"/>
  <c r="AH12" i="69" s="1"/>
  <c r="AG9" i="69"/>
  <c r="AF9" i="69"/>
  <c r="AF12" i="69" s="1"/>
  <c r="AE9" i="69"/>
  <c r="AD9" i="69"/>
  <c r="AD12" i="69" s="1"/>
  <c r="AC9" i="69"/>
  <c r="AB9" i="69"/>
  <c r="AB12" i="69" s="1"/>
  <c r="AA9" i="69"/>
  <c r="Z9" i="69"/>
  <c r="Z12" i="69" s="1"/>
  <c r="E9" i="69"/>
  <c r="C9" i="69"/>
  <c r="E8" i="69"/>
  <c r="A7" i="69"/>
  <c r="I2" i="69"/>
  <c r="M9" i="69" s="1"/>
  <c r="G2" i="69"/>
  <c r="N1" i="69"/>
  <c r="D1" i="69"/>
  <c r="D29" i="46"/>
  <c r="F1" i="46"/>
  <c r="F19" i="6"/>
  <c r="M1" i="70" l="1"/>
  <c r="H69" i="70"/>
  <c r="H80" i="70"/>
  <c r="E11" i="70"/>
  <c r="E10" i="70"/>
  <c r="E9" i="70"/>
  <c r="E8" i="70"/>
  <c r="H113" i="70"/>
  <c r="O17" i="70"/>
  <c r="M17" i="70"/>
  <c r="K17" i="70"/>
  <c r="I17" i="70"/>
  <c r="D17" i="70"/>
  <c r="F39" i="70"/>
  <c r="F38" i="70"/>
  <c r="F37" i="70"/>
  <c r="F36" i="70"/>
  <c r="F35" i="70"/>
  <c r="F34" i="70"/>
  <c r="F33" i="70"/>
  <c r="N17" i="70"/>
  <c r="L17" i="70"/>
  <c r="J17" i="70"/>
  <c r="H17" i="70"/>
  <c r="G17" i="70" s="1"/>
  <c r="E17" i="70"/>
  <c r="C17" i="70"/>
  <c r="M12" i="70"/>
  <c r="N11" i="70"/>
  <c r="N10" i="70"/>
  <c r="M9" i="70"/>
  <c r="M8" i="70"/>
  <c r="N12" i="70"/>
  <c r="N2" i="70"/>
  <c r="M3" i="70"/>
  <c r="N4" i="70"/>
  <c r="M5" i="70"/>
  <c r="M6" i="70"/>
  <c r="N7" i="70"/>
  <c r="X7" i="70"/>
  <c r="N8" i="70"/>
  <c r="N9" i="70"/>
  <c r="M10" i="70"/>
  <c r="AC10" i="70"/>
  <c r="AG10" i="70"/>
  <c r="N101" i="70"/>
  <c r="L101" i="70"/>
  <c r="J101" i="70"/>
  <c r="H101" i="70"/>
  <c r="F101" i="70"/>
  <c r="D101" i="70"/>
  <c r="B113" i="70"/>
  <c r="M101" i="70"/>
  <c r="K101" i="70"/>
  <c r="I101" i="70"/>
  <c r="G101" i="70"/>
  <c r="E101" i="70"/>
  <c r="C101" i="70"/>
  <c r="J22" i="70"/>
  <c r="G22" i="70"/>
  <c r="E22" i="70"/>
  <c r="AJ11" i="70"/>
  <c r="AJ13" i="70" s="1"/>
  <c r="AH11" i="70"/>
  <c r="AF11" i="70"/>
  <c r="AF13" i="70" s="1"/>
  <c r="AD11" i="70"/>
  <c r="AB11" i="70"/>
  <c r="AB13" i="70" s="1"/>
  <c r="Z11" i="70"/>
  <c r="Z7" i="70"/>
  <c r="H22" i="70"/>
  <c r="F22" i="70"/>
  <c r="AI11" i="70"/>
  <c r="AG11" i="70"/>
  <c r="AE11" i="70"/>
  <c r="AC11" i="70"/>
  <c r="AA11" i="70"/>
  <c r="Y11" i="70"/>
  <c r="Y13" i="70" s="1"/>
  <c r="N3" i="70"/>
  <c r="M4" i="70"/>
  <c r="N5" i="70"/>
  <c r="C6" i="70"/>
  <c r="N6" i="70"/>
  <c r="M7" i="70"/>
  <c r="AA13" i="70"/>
  <c r="AC13" i="70"/>
  <c r="AE13" i="70"/>
  <c r="AG13" i="70"/>
  <c r="AI13" i="70"/>
  <c r="AA10" i="70"/>
  <c r="AE10" i="70"/>
  <c r="AI10" i="70"/>
  <c r="M11" i="70"/>
  <c r="Z13" i="70"/>
  <c r="AD13" i="70"/>
  <c r="AH13" i="70"/>
  <c r="P22" i="70"/>
  <c r="P23" i="70"/>
  <c r="P24" i="70"/>
  <c r="H70" i="70"/>
  <c r="H72" i="70"/>
  <c r="H74" i="70"/>
  <c r="H75" i="70"/>
  <c r="H81" i="70"/>
  <c r="H83" i="70"/>
  <c r="H85" i="70"/>
  <c r="H86" i="70"/>
  <c r="C108" i="70"/>
  <c r="C109" i="70" s="1"/>
  <c r="C100" i="70"/>
  <c r="E108" i="70"/>
  <c r="E109" i="70" s="1"/>
  <c r="E100" i="70"/>
  <c r="G108" i="70"/>
  <c r="G109" i="70" s="1"/>
  <c r="G100" i="70"/>
  <c r="I108" i="70"/>
  <c r="I109" i="70" s="1"/>
  <c r="I100" i="70"/>
  <c r="K108" i="70"/>
  <c r="K109" i="70" s="1"/>
  <c r="K100" i="70"/>
  <c r="M108" i="70"/>
  <c r="M109" i="70" s="1"/>
  <c r="M100" i="70"/>
  <c r="D100" i="70"/>
  <c r="C19" i="70"/>
  <c r="O19" i="70"/>
  <c r="M20" i="70"/>
  <c r="P21" i="70"/>
  <c r="H71" i="70"/>
  <c r="H73" i="70"/>
  <c r="H76" i="70"/>
  <c r="H82" i="70"/>
  <c r="H84" i="70"/>
  <c r="D109" i="70"/>
  <c r="F108" i="70"/>
  <c r="F109" i="70" s="1"/>
  <c r="F100" i="70"/>
  <c r="H108" i="70"/>
  <c r="H109" i="70" s="1"/>
  <c r="H100" i="70"/>
  <c r="J108" i="70"/>
  <c r="J109" i="70" s="1"/>
  <c r="J100" i="70"/>
  <c r="L108" i="70"/>
  <c r="L109" i="70" s="1"/>
  <c r="C23" i="70" s="1"/>
  <c r="L100" i="70"/>
  <c r="N108" i="70"/>
  <c r="N109" i="70" s="1"/>
  <c r="N100" i="70"/>
  <c r="E10" i="69"/>
  <c r="C7" i="69" s="1"/>
  <c r="M1" i="69"/>
  <c r="M2" i="69"/>
  <c r="M4" i="69"/>
  <c r="N6" i="69"/>
  <c r="M7" i="69"/>
  <c r="M8" i="69"/>
  <c r="N3" i="69"/>
  <c r="N5" i="69"/>
  <c r="H80" i="69"/>
  <c r="H113" i="69"/>
  <c r="N17" i="69"/>
  <c r="L17" i="69"/>
  <c r="J17" i="69"/>
  <c r="H17" i="69"/>
  <c r="E17" i="69"/>
  <c r="C17" i="69"/>
  <c r="F39" i="69"/>
  <c r="F38" i="69"/>
  <c r="F37" i="69"/>
  <c r="F36" i="69"/>
  <c r="F35" i="69"/>
  <c r="F34" i="69"/>
  <c r="F33" i="69"/>
  <c r="O17" i="69"/>
  <c r="M17" i="69"/>
  <c r="K17" i="69"/>
  <c r="I17" i="69"/>
  <c r="D17" i="69"/>
  <c r="Z10" i="69"/>
  <c r="AD10" i="69"/>
  <c r="AH10" i="69"/>
  <c r="N12" i="69"/>
  <c r="M11" i="69"/>
  <c r="M10" i="69"/>
  <c r="C6" i="69" s="1"/>
  <c r="M12" i="69"/>
  <c r="N11" i="69"/>
  <c r="N2" i="69"/>
  <c r="M3" i="69"/>
  <c r="N4" i="69"/>
  <c r="M5" i="69"/>
  <c r="M6" i="69"/>
  <c r="N7" i="69"/>
  <c r="X7" i="69"/>
  <c r="N8" i="69"/>
  <c r="N9" i="69"/>
  <c r="AA10" i="69"/>
  <c r="AA12" i="69"/>
  <c r="AC10" i="69"/>
  <c r="AC12" i="69"/>
  <c r="AE10" i="69"/>
  <c r="AE12" i="69"/>
  <c r="AG10" i="69"/>
  <c r="AG12" i="69"/>
  <c r="AI10" i="69"/>
  <c r="AI12" i="69"/>
  <c r="N10" i="69"/>
  <c r="F58" i="69" s="1"/>
  <c r="AB10" i="69"/>
  <c r="AF10" i="69"/>
  <c r="AJ10" i="69"/>
  <c r="H70" i="69"/>
  <c r="H72" i="69"/>
  <c r="H74" i="69"/>
  <c r="H75" i="69"/>
  <c r="H81" i="69"/>
  <c r="H83" i="69"/>
  <c r="H85" i="69"/>
  <c r="H86" i="69"/>
  <c r="C108" i="69"/>
  <c r="C100" i="69"/>
  <c r="E108" i="69"/>
  <c r="E100" i="69"/>
  <c r="G108" i="69"/>
  <c r="G100" i="69"/>
  <c r="I108" i="69"/>
  <c r="I100" i="69"/>
  <c r="K108" i="69"/>
  <c r="K100" i="69"/>
  <c r="M108" i="69"/>
  <c r="M100" i="69"/>
  <c r="D100" i="69"/>
  <c r="P22" i="69"/>
  <c r="P23" i="69"/>
  <c r="H69" i="69"/>
  <c r="H71" i="69"/>
  <c r="H73" i="69"/>
  <c r="H76" i="69"/>
  <c r="H82" i="69"/>
  <c r="H84" i="69"/>
  <c r="F108" i="69"/>
  <c r="F100" i="69"/>
  <c r="H108" i="69"/>
  <c r="H100" i="69"/>
  <c r="J108" i="69"/>
  <c r="J100" i="69"/>
  <c r="L108" i="69"/>
  <c r="L100" i="69"/>
  <c r="N108" i="69"/>
  <c r="N100" i="69"/>
  <c r="AH5" i="59"/>
  <c r="AG5" i="59"/>
  <c r="AE5" i="59"/>
  <c r="AF5" i="59"/>
  <c r="AD5" i="59"/>
  <c r="Q5" i="59"/>
  <c r="P5" i="59"/>
  <c r="O5" i="59"/>
  <c r="N5" i="59"/>
  <c r="F25" i="12"/>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C15" i="11" s="1"/>
  <c r="C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E411"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C20" i="43"/>
  <c r="F6" i="1"/>
  <c r="I20" i="46"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c r="A18" i="51"/>
  <c r="B14" i="63"/>
  <c r="BA16" i="3"/>
  <c r="BA17" i="3"/>
  <c r="AZ17" i="3"/>
  <c r="F3" i="35"/>
  <c r="K1" i="43"/>
  <c r="K1" i="12"/>
  <c r="G1" i="44"/>
  <c r="I4" i="6"/>
  <c r="G3" i="69" s="1"/>
  <c r="L101" i="69" s="1"/>
  <c r="AZ15" i="3"/>
  <c r="BK5" i="3"/>
  <c r="BO5" i="3"/>
  <c r="BP5" i="3"/>
  <c r="BN5" i="3"/>
  <c r="BL18" i="3"/>
  <c r="AZ18" i="3"/>
  <c r="BC5" i="3"/>
  <c r="E8" i="6" s="1"/>
  <c r="BD5" i="3"/>
  <c r="BR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E250" i="3"/>
  <c r="A17" i="51"/>
  <c r="B13" i="63"/>
  <c r="AN6" i="3"/>
  <c r="E41" i="3"/>
  <c r="E280" i="3"/>
  <c r="E471" i="3"/>
  <c r="E59" i="3"/>
  <c r="E418" i="3"/>
  <c r="E270" i="3"/>
  <c r="E408" i="3"/>
  <c r="E464" i="3"/>
  <c r="E92" i="3"/>
  <c r="E157" i="3"/>
  <c r="E238" i="3"/>
  <c r="E209" i="3"/>
  <c r="E414" i="3"/>
  <c r="E161" i="3"/>
  <c r="E44" i="3"/>
  <c r="E450" i="3"/>
  <c r="E202" i="3"/>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7" i="1"/>
  <c r="AE6" i="1"/>
  <c r="W18" i="36"/>
  <c r="AC18" i="36"/>
  <c r="AG6" i="1"/>
  <c r="L20" i="6"/>
  <c r="L19" i="6"/>
  <c r="B21" i="55"/>
  <c r="B72" i="63"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H1" i="65"/>
  <c r="H51" i="46"/>
  <c r="X7" i="46"/>
  <c r="E17" i="46"/>
  <c r="N17" i="46"/>
  <c r="O17" i="46"/>
  <c r="M17" i="46"/>
  <c r="L17" i="46"/>
  <c r="O13" i="1"/>
  <c r="O12"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E11" i="52"/>
  <c r="E8" i="52"/>
  <c r="B16" i="52"/>
  <c r="E21" i="52"/>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M26" i="15"/>
  <c r="J4" i="65"/>
  <c r="F38" i="15"/>
  <c r="F11" i="67"/>
  <c r="F46" i="44"/>
  <c r="B10" i="67"/>
  <c r="M8" i="15"/>
  <c r="F9" i="67"/>
  <c r="F26" i="15"/>
  <c r="N5" i="65"/>
  <c r="M25" i="44"/>
  <c r="J5" i="65"/>
  <c r="M23" i="15"/>
  <c r="F38" i="44"/>
  <c r="C19" i="44"/>
  <c r="F28" i="44"/>
  <c r="F7" i="15"/>
  <c r="J36" i="15"/>
  <c r="M9" i="15"/>
  <c r="L49" i="44"/>
  <c r="F35" i="15"/>
  <c r="F43" i="44"/>
  <c r="E12" i="67"/>
  <c r="E14" i="67"/>
  <c r="F9" i="15"/>
  <c r="J6" i="65"/>
  <c r="F10" i="67"/>
  <c r="F43" i="15"/>
  <c r="M26" i="44"/>
  <c r="C15" i="12"/>
  <c r="F14" i="67"/>
  <c r="M24" i="44"/>
  <c r="I3" i="65"/>
  <c r="N4" i="65"/>
  <c r="B13" i="67"/>
  <c r="M30" i="44"/>
  <c r="J7" i="65"/>
  <c r="F40" i="15"/>
  <c r="M23" i="44"/>
  <c r="F40" i="44"/>
  <c r="B11" i="67"/>
  <c r="E11" i="67"/>
  <c r="M29" i="44"/>
  <c r="M24" i="15"/>
  <c r="J17" i="44"/>
  <c r="E13" i="67"/>
  <c r="F37" i="15"/>
  <c r="L47" i="15"/>
  <c r="L48" i="44"/>
  <c r="F16" i="15"/>
  <c r="F18" i="44"/>
  <c r="F12" i="67"/>
  <c r="M11" i="44"/>
  <c r="I6" i="65"/>
  <c r="F8" i="15"/>
  <c r="E8" i="67"/>
  <c r="B8" i="67"/>
  <c r="F10" i="44"/>
  <c r="F42" i="15"/>
  <c r="F45" i="44"/>
  <c r="I7" i="65"/>
  <c r="F8" i="44"/>
  <c r="B9" i="67"/>
  <c r="L48" i="15"/>
  <c r="F13" i="67"/>
  <c r="M22" i="15"/>
  <c r="B12" i="67"/>
  <c r="F9" i="44"/>
  <c r="M10" i="44"/>
  <c r="F39" i="44"/>
  <c r="N7" i="65"/>
  <c r="I5" i="65"/>
  <c r="E9" i="67"/>
  <c r="F11" i="44"/>
  <c r="M28" i="15"/>
  <c r="F13" i="15"/>
  <c r="M8" i="44"/>
  <c r="M21" i="15"/>
  <c r="B14" i="67"/>
  <c r="N6" i="65"/>
  <c r="F37" i="44"/>
  <c r="F36" i="15"/>
  <c r="F8" i="67"/>
  <c r="M29" i="15"/>
  <c r="E10" i="67"/>
  <c r="J15" i="15"/>
  <c r="F15" i="44"/>
  <c r="M31" i="44"/>
  <c r="M6" i="15"/>
  <c r="J3" i="65"/>
  <c r="I4" i="65"/>
  <c r="F6" i="15"/>
  <c r="M28" i="44"/>
  <c r="M27" i="15"/>
  <c r="N3" i="65"/>
  <c r="M43" i="9" l="1"/>
  <c r="D18" i="9"/>
  <c r="M44" i="9" s="1"/>
  <c r="A30" i="64"/>
  <c r="D23" i="15"/>
  <c r="F47" i="70"/>
  <c r="F58" i="70"/>
  <c r="E20" i="70"/>
  <c r="H55" i="70"/>
  <c r="H53" i="70"/>
  <c r="H50" i="70"/>
  <c r="H49" i="70"/>
  <c r="H47" i="70"/>
  <c r="H54" i="70"/>
  <c r="H52" i="70"/>
  <c r="H51" i="70"/>
  <c r="H48" i="70"/>
  <c r="E107" i="70"/>
  <c r="E106" i="70"/>
  <c r="E105" i="70"/>
  <c r="E104" i="70"/>
  <c r="E103" i="70"/>
  <c r="E102" i="70"/>
  <c r="I107" i="70"/>
  <c r="I106" i="70"/>
  <c r="I105" i="70"/>
  <c r="I104" i="70"/>
  <c r="I103" i="70"/>
  <c r="I102" i="70"/>
  <c r="M107" i="70"/>
  <c r="M106" i="70"/>
  <c r="M105" i="70"/>
  <c r="M104" i="70"/>
  <c r="M103" i="70"/>
  <c r="M102" i="70"/>
  <c r="D107" i="70"/>
  <c r="D106" i="70"/>
  <c r="D105" i="70"/>
  <c r="D104" i="70"/>
  <c r="D103" i="70"/>
  <c r="D102" i="70"/>
  <c r="H107" i="70"/>
  <c r="H106" i="70"/>
  <c r="H105" i="70"/>
  <c r="H104" i="70"/>
  <c r="H103" i="70"/>
  <c r="H102" i="70"/>
  <c r="L107" i="70"/>
  <c r="L106" i="70"/>
  <c r="L105" i="70"/>
  <c r="L104" i="70"/>
  <c r="L103" i="70"/>
  <c r="L102" i="70"/>
  <c r="D5" i="70"/>
  <c r="C5" i="70"/>
  <c r="D22" i="70"/>
  <c r="C21" i="70" s="1"/>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F107" i="70"/>
  <c r="F106" i="70"/>
  <c r="F105" i="70"/>
  <c r="F104" i="70"/>
  <c r="F103" i="70"/>
  <c r="F102" i="70"/>
  <c r="J107" i="70"/>
  <c r="J106" i="70"/>
  <c r="J105" i="70"/>
  <c r="J104" i="70"/>
  <c r="J103" i="70"/>
  <c r="J102" i="70"/>
  <c r="N107" i="70"/>
  <c r="N106" i="70"/>
  <c r="N105" i="70"/>
  <c r="N104" i="70"/>
  <c r="N103" i="70"/>
  <c r="N102" i="70"/>
  <c r="G9" i="1"/>
  <c r="G13" i="1"/>
  <c r="E53" i="40"/>
  <c r="E58" i="39"/>
  <c r="F27" i="6"/>
  <c r="E27" i="6" s="1"/>
  <c r="Z7" i="69"/>
  <c r="AB11" i="69"/>
  <c r="AB13" i="69" s="1"/>
  <c r="AF11" i="69"/>
  <c r="AF13" i="69" s="1"/>
  <c r="AJ11" i="69"/>
  <c r="AJ13" i="69" s="1"/>
  <c r="G22" i="69"/>
  <c r="Y11" i="69"/>
  <c r="Y13" i="69" s="1"/>
  <c r="AC11" i="69"/>
  <c r="AC13" i="69" s="1"/>
  <c r="AG11" i="69"/>
  <c r="AG13" i="69" s="1"/>
  <c r="F22" i="69"/>
  <c r="D22" i="69" s="1"/>
  <c r="C21" i="69" s="1"/>
  <c r="C101" i="69"/>
  <c r="G101" i="69"/>
  <c r="G109" i="69" s="1"/>
  <c r="K101" i="69"/>
  <c r="B113" i="69"/>
  <c r="I118" i="69" s="1"/>
  <c r="J118" i="69" s="1"/>
  <c r="K118" i="69" s="1"/>
  <c r="L118" i="69" s="1"/>
  <c r="M118" i="69" s="1"/>
  <c r="F101" i="69"/>
  <c r="J101" i="69"/>
  <c r="J106" i="69" s="1"/>
  <c r="N101" i="69"/>
  <c r="N109" i="69"/>
  <c r="L109" i="69"/>
  <c r="C23" i="69" s="1"/>
  <c r="J109" i="69"/>
  <c r="F109" i="69"/>
  <c r="K109" i="69"/>
  <c r="C109" i="69"/>
  <c r="Z11" i="69"/>
  <c r="Z13" i="69" s="1"/>
  <c r="AD11" i="69"/>
  <c r="AD13" i="69" s="1"/>
  <c r="AH11" i="69"/>
  <c r="AH13" i="69" s="1"/>
  <c r="E22" i="69"/>
  <c r="J22" i="69"/>
  <c r="AA11" i="69"/>
  <c r="AE11" i="69"/>
  <c r="AE13" i="69" s="1"/>
  <c r="AI11" i="69"/>
  <c r="AI13" i="69" s="1"/>
  <c r="H22" i="69"/>
  <c r="E101" i="69"/>
  <c r="E109" i="69" s="1"/>
  <c r="I101" i="69"/>
  <c r="I109" i="69" s="1"/>
  <c r="M101" i="69"/>
  <c r="M109" i="69" s="1"/>
  <c r="D101" i="69"/>
  <c r="D109" i="69" s="1"/>
  <c r="H101" i="69"/>
  <c r="H109" i="69" s="1"/>
  <c r="H16" i="1"/>
  <c r="F47" i="69"/>
  <c r="B13" i="52"/>
  <c r="B5" i="52"/>
  <c r="E13" i="52"/>
  <c r="E9" i="52"/>
  <c r="B22" i="52"/>
  <c r="B7" i="52"/>
  <c r="B6" i="52"/>
  <c r="E14" i="52"/>
  <c r="G7" i="1"/>
  <c r="AP7" i="1"/>
  <c r="G8" i="1"/>
  <c r="AP6" i="1"/>
  <c r="I20" i="69"/>
  <c r="N16" i="4"/>
  <c r="E13" i="6"/>
  <c r="E60" i="40" s="1"/>
  <c r="E14" i="6"/>
  <c r="E10" i="6"/>
  <c r="F30" i="6"/>
  <c r="G28" i="6"/>
  <c r="G30" i="6" s="1"/>
  <c r="G31"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AA13" i="69"/>
  <c r="E20" i="69"/>
  <c r="H66" i="69"/>
  <c r="H64" i="69"/>
  <c r="H61" i="69"/>
  <c r="H60" i="69"/>
  <c r="H58" i="69"/>
  <c r="H65" i="69"/>
  <c r="H63" i="69"/>
  <c r="H62" i="69"/>
  <c r="H59" i="69"/>
  <c r="C5" i="69"/>
  <c r="D5" i="69"/>
  <c r="C107" i="69"/>
  <c r="C106" i="69"/>
  <c r="C105" i="69"/>
  <c r="C104" i="69"/>
  <c r="C103" i="69"/>
  <c r="C102" i="69"/>
  <c r="G106" i="69"/>
  <c r="K107" i="69"/>
  <c r="K106" i="69"/>
  <c r="K105" i="69"/>
  <c r="K104" i="69"/>
  <c r="K103" i="69"/>
  <c r="K102" i="69"/>
  <c r="F107" i="69"/>
  <c r="F106" i="69"/>
  <c r="F105" i="69"/>
  <c r="F104" i="69"/>
  <c r="F103" i="69"/>
  <c r="F102" i="69"/>
  <c r="N107" i="69"/>
  <c r="N106" i="69"/>
  <c r="N105" i="69"/>
  <c r="N104" i="69"/>
  <c r="N103" i="69"/>
  <c r="N102" i="69"/>
  <c r="E107" i="69"/>
  <c r="E106" i="69"/>
  <c r="E105" i="69"/>
  <c r="E104" i="69"/>
  <c r="E103" i="69"/>
  <c r="E102" i="69"/>
  <c r="M107" i="69"/>
  <c r="M106" i="69"/>
  <c r="M105" i="69"/>
  <c r="M104" i="69"/>
  <c r="M103" i="69"/>
  <c r="M102" i="69"/>
  <c r="H107" i="69"/>
  <c r="H106" i="69"/>
  <c r="H105" i="69"/>
  <c r="H104" i="69"/>
  <c r="H103" i="69"/>
  <c r="H102" i="69"/>
  <c r="L107" i="69"/>
  <c r="L106" i="69"/>
  <c r="L105" i="69"/>
  <c r="L104" i="69"/>
  <c r="L103" i="69"/>
  <c r="L102" i="69"/>
  <c r="G17" i="69"/>
  <c r="H61" i="46"/>
  <c r="H58" i="46"/>
  <c r="H64" i="46"/>
  <c r="H62" i="46"/>
  <c r="H60" i="46"/>
  <c r="H63" i="46"/>
  <c r="H66" i="46"/>
  <c r="H59" i="46"/>
  <c r="H65" i="46"/>
  <c r="G17" i="46"/>
  <c r="C16" i="46" s="1"/>
  <c r="D5" i="46" s="1"/>
  <c r="Q16" i="1"/>
  <c r="AZ5" i="3"/>
  <c r="E3" i="6" s="1"/>
  <c r="E6" i="6" s="1"/>
  <c r="F31" i="6"/>
  <c r="L27" i="6"/>
  <c r="E29" i="6"/>
  <c r="K15" i="1" s="1"/>
  <c r="E28" i="6"/>
  <c r="D12" i="11"/>
  <c r="C12" i="11" s="1"/>
  <c r="O7" i="1"/>
  <c r="P7" i="1" s="1"/>
  <c r="O6" i="1"/>
  <c r="P6" i="1" s="1"/>
  <c r="P13" i="1"/>
  <c r="O10" i="1"/>
  <c r="P10" i="1" s="1"/>
  <c r="E15" i="6"/>
  <c r="E12" i="6"/>
  <c r="E11" i="6"/>
  <c r="P12" i="1"/>
  <c r="C5" i="46"/>
  <c r="E10" i="52"/>
  <c r="B8" i="52"/>
  <c r="B9" i="52"/>
  <c r="E16" i="52"/>
  <c r="B14" i="52"/>
  <c r="E15" i="52"/>
  <c r="E17" i="52"/>
  <c r="B4" i="52"/>
  <c r="B10" i="52"/>
  <c r="E22" i="52"/>
  <c r="E5" i="52"/>
  <c r="E4" i="52"/>
  <c r="E7" i="52"/>
  <c r="G10" i="1"/>
  <c r="E49" i="39"/>
  <c r="I54" i="39" s="1"/>
  <c r="J54" i="39" s="1"/>
  <c r="G6" i="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C8" i="44"/>
  <c r="F70" i="15"/>
  <c r="C27" i="15"/>
  <c r="Q72" i="15"/>
  <c r="M9" i="44"/>
  <c r="J8" i="44" s="1"/>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4" i="44"/>
  <c r="J58" i="44"/>
  <c r="J56" i="44" s="1"/>
  <c r="J59" i="44" s="1"/>
  <c r="Q52" i="44" s="1"/>
  <c r="L57" i="44"/>
  <c r="C34" i="15"/>
  <c r="F62" i="15"/>
  <c r="C61" i="15" s="1"/>
  <c r="C29" i="44"/>
  <c r="F67" i="15"/>
  <c r="F50" i="15"/>
  <c r="C48" i="15" s="1"/>
  <c r="E2" i="65"/>
  <c r="F31" i="15"/>
  <c r="C16" i="15"/>
  <c r="C17" i="15"/>
  <c r="M17" i="15"/>
  <c r="C18" i="44"/>
  <c r="F33" i="44"/>
  <c r="F58" i="15"/>
  <c r="M19" i="44"/>
  <c r="D21" i="12"/>
  <c r="E3" i="65"/>
  <c r="C21" i="12" l="1"/>
  <c r="G16" i="1"/>
  <c r="H12" i="39" s="1"/>
  <c r="H66" i="70"/>
  <c r="H59" i="70"/>
  <c r="H63" i="70"/>
  <c r="H60" i="70"/>
  <c r="H64" i="70"/>
  <c r="H62" i="70"/>
  <c r="H65" i="70"/>
  <c r="H58" i="70"/>
  <c r="H61" i="70"/>
  <c r="C115" i="70"/>
  <c r="D113" i="70"/>
  <c r="S6" i="70"/>
  <c r="S5" i="70"/>
  <c r="S7" i="70"/>
  <c r="S4" i="70"/>
  <c r="S3" i="70"/>
  <c r="S2" i="70"/>
  <c r="P28" i="70"/>
  <c r="N28" i="70"/>
  <c r="O28" i="70"/>
  <c r="M28" i="70"/>
  <c r="G20" i="70" s="1"/>
  <c r="D106" i="69"/>
  <c r="D115" i="69"/>
  <c r="E115" i="69" s="1"/>
  <c r="F115" i="69" s="1"/>
  <c r="G115" i="69" s="1"/>
  <c r="H115" i="69" s="1"/>
  <c r="I116" i="69"/>
  <c r="J116" i="69" s="1"/>
  <c r="K116" i="69" s="1"/>
  <c r="L116" i="69" s="1"/>
  <c r="M116" i="69" s="1"/>
  <c r="D102" i="69"/>
  <c r="S2" i="69" s="1"/>
  <c r="I104" i="69"/>
  <c r="J105" i="69"/>
  <c r="D117" i="69"/>
  <c r="E117" i="69" s="1"/>
  <c r="F117" i="69" s="1"/>
  <c r="G117" i="69" s="1"/>
  <c r="H117" i="69" s="1"/>
  <c r="G102" i="69"/>
  <c r="D104" i="69"/>
  <c r="I102" i="69"/>
  <c r="I106" i="69"/>
  <c r="J103" i="69"/>
  <c r="J107" i="69"/>
  <c r="D116" i="69"/>
  <c r="E116" i="69" s="1"/>
  <c r="F116" i="69" s="1"/>
  <c r="G116" i="69" s="1"/>
  <c r="H116" i="69" s="1"/>
  <c r="D118" i="69"/>
  <c r="E118" i="69" s="1"/>
  <c r="F118" i="69" s="1"/>
  <c r="G118" i="69"/>
  <c r="H118" i="69" s="1"/>
  <c r="G104" i="69"/>
  <c r="E65" i="39"/>
  <c r="D103" i="69"/>
  <c r="D105" i="69"/>
  <c r="D107" i="69"/>
  <c r="I103" i="69"/>
  <c r="I105" i="69"/>
  <c r="I107" i="69"/>
  <c r="J102" i="69"/>
  <c r="J104" i="69"/>
  <c r="B115" i="69"/>
  <c r="B116" i="69"/>
  <c r="C116" i="69" s="1"/>
  <c r="B117" i="69"/>
  <c r="C117" i="69" s="1"/>
  <c r="B118" i="69"/>
  <c r="C118" i="69" s="1"/>
  <c r="I115" i="69"/>
  <c r="J115" i="69" s="1"/>
  <c r="K115" i="69" s="1"/>
  <c r="L115" i="69" s="1"/>
  <c r="M115" i="69" s="1"/>
  <c r="I117" i="69"/>
  <c r="J117" i="69" s="1"/>
  <c r="K117" i="69" s="1"/>
  <c r="L117" i="69" s="1"/>
  <c r="M117" i="69" s="1"/>
  <c r="G103" i="69"/>
  <c r="G105" i="69"/>
  <c r="G107" i="69"/>
  <c r="H12" i="40"/>
  <c r="H55" i="69"/>
  <c r="H48" i="69"/>
  <c r="H52" i="69"/>
  <c r="H49" i="69"/>
  <c r="H53" i="69"/>
  <c r="H51" i="69"/>
  <c r="H54" i="69"/>
  <c r="H47" i="69"/>
  <c r="H50" i="69"/>
  <c r="E66" i="39"/>
  <c r="E61" i="40"/>
  <c r="AC6" i="3"/>
  <c r="E6" i="3" s="1"/>
  <c r="AY6" i="3"/>
  <c r="F12" i="40"/>
  <c r="S3" i="69"/>
  <c r="S4" i="69"/>
  <c r="S7" i="69"/>
  <c r="S5" i="69"/>
  <c r="S6" i="69"/>
  <c r="C115" i="69"/>
  <c r="D113" i="69" s="1"/>
  <c r="O28" i="69"/>
  <c r="M28" i="69"/>
  <c r="P28" i="69"/>
  <c r="N28" i="69"/>
  <c r="G20" i="69" s="1"/>
  <c r="E54" i="39"/>
  <c r="F54" i="39" s="1"/>
  <c r="J12" i="40"/>
  <c r="F18" i="11"/>
  <c r="C18" i="11" s="1"/>
  <c r="F24" i="43"/>
  <c r="C26" i="43" s="1"/>
  <c r="D24" i="43" s="1"/>
  <c r="AY105" i="3"/>
  <c r="AY179" i="3"/>
  <c r="AY159" i="3"/>
  <c r="AY58" i="3"/>
  <c r="AY67" i="3"/>
  <c r="AY80" i="3"/>
  <c r="AY486" i="3"/>
  <c r="AY218" i="3"/>
  <c r="AY465" i="3"/>
  <c r="AY123" i="3"/>
  <c r="AY516" i="3"/>
  <c r="AY420" i="3"/>
  <c r="AY39" i="3"/>
  <c r="AY104" i="3"/>
  <c r="E53" i="39"/>
  <c r="F53" i="39" s="1"/>
  <c r="AY288" i="3"/>
  <c r="AY392" i="3"/>
  <c r="AY42" i="3"/>
  <c r="AY86" i="3"/>
  <c r="AY76" i="3"/>
  <c r="AY337" i="3"/>
  <c r="AY117" i="3"/>
  <c r="AY36" i="3"/>
  <c r="AY528" i="3"/>
  <c r="AY188" i="3"/>
  <c r="AY194" i="3"/>
  <c r="AY315" i="3"/>
  <c r="AY146" i="3"/>
  <c r="AY106" i="3"/>
  <c r="AY88" i="3"/>
  <c r="F12" i="39"/>
  <c r="J12" i="39"/>
  <c r="AY44" i="3"/>
  <c r="AY176" i="3"/>
  <c r="AY309" i="3"/>
  <c r="AY34" i="3"/>
  <c r="AY526" i="3"/>
  <c r="AY431" i="3"/>
  <c r="BH6" i="3"/>
  <c r="AY321" i="3"/>
  <c r="AY197" i="3"/>
  <c r="AY25" i="3"/>
  <c r="AY183" i="3"/>
  <c r="AY374" i="3"/>
  <c r="AY408" i="3"/>
  <c r="AY246" i="3"/>
  <c r="AY52" i="3"/>
  <c r="AY236" i="3"/>
  <c r="AY308" i="3"/>
  <c r="AY143" i="3"/>
  <c r="AY555" i="3"/>
  <c r="AY382" i="3"/>
  <c r="AY295" i="3"/>
  <c r="AY168" i="3"/>
  <c r="AY258" i="3"/>
  <c r="AY324" i="3"/>
  <c r="AY422" i="3"/>
  <c r="AY291" i="3"/>
  <c r="AY74" i="3"/>
  <c r="AY129" i="3"/>
  <c r="AY69" i="3"/>
  <c r="AY529" i="3"/>
  <c r="AY98" i="3"/>
  <c r="AY383" i="3"/>
  <c r="AY170" i="3"/>
  <c r="AY476" i="3"/>
  <c r="AY366" i="3"/>
  <c r="AY256" i="3"/>
  <c r="AY342" i="3"/>
  <c r="AY305" i="3"/>
  <c r="AY429" i="3"/>
  <c r="AY43" i="3"/>
  <c r="AY501" i="3"/>
  <c r="AY481" i="3"/>
  <c r="AY204" i="3"/>
  <c r="AY216" i="3"/>
  <c r="AY28" i="3"/>
  <c r="AY311" i="3"/>
  <c r="AY257" i="3"/>
  <c r="AY254" i="3"/>
  <c r="AY359" i="3"/>
  <c r="AY437" i="3"/>
  <c r="AY493" i="3"/>
  <c r="AY273" i="3"/>
  <c r="AY64" i="3"/>
  <c r="AY158" i="3"/>
  <c r="AY443" i="3"/>
  <c r="AY219" i="3"/>
  <c r="AY14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497" i="3"/>
  <c r="AY68" i="3"/>
  <c r="AY285" i="3"/>
  <c r="AY357" i="3"/>
  <c r="AY404" i="3"/>
  <c r="AY133" i="3"/>
  <c r="AY327" i="3"/>
  <c r="AY84" i="3"/>
  <c r="AY567" i="3"/>
  <c r="AY276" i="3"/>
  <c r="AY538" i="3"/>
  <c r="AY436" i="3"/>
  <c r="AY534" i="3"/>
  <c r="AY113" i="3"/>
  <c r="AY557" i="3"/>
  <c r="AY192" i="3"/>
  <c r="AY478" i="3"/>
  <c r="AY387" i="3"/>
  <c r="AY418" i="3"/>
  <c r="AY410" i="3"/>
  <c r="AY434" i="3"/>
  <c r="AY26" i="3"/>
  <c r="AY217" i="3"/>
  <c r="AY214" i="3"/>
  <c r="AY548" i="3"/>
  <c r="AY272" i="3"/>
  <c r="AY442" i="3"/>
  <c r="AY99" i="3"/>
  <c r="AY150" i="3"/>
  <c r="AY280" i="3"/>
  <c r="BS6" i="3"/>
  <c r="AY282" i="3"/>
  <c r="AY24" i="3"/>
  <c r="AY515" i="3"/>
  <c r="AY46" i="3"/>
  <c r="AY371" i="3"/>
  <c r="AY283" i="3"/>
  <c r="AY380" i="3"/>
  <c r="AY396" i="3"/>
  <c r="AY245" i="3"/>
  <c r="AY239" i="3"/>
  <c r="AY107" i="3"/>
  <c r="AY152" i="3"/>
  <c r="AY546" i="3"/>
  <c r="AY417" i="3"/>
  <c r="AY163" i="3"/>
  <c r="AY492" i="3"/>
  <c r="AY355" i="3"/>
  <c r="BR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 i="3"/>
  <c r="AY427" i="3"/>
  <c r="AY116" i="3"/>
  <c r="AY81" i="3"/>
  <c r="AY405" i="3"/>
  <c r="AY572" i="3"/>
  <c r="AY103" i="3"/>
  <c r="AY432" i="3"/>
  <c r="AY172" i="3"/>
  <c r="AY394" i="3"/>
  <c r="AY544" i="3"/>
  <c r="AY494" i="3"/>
  <c r="AY290" i="3"/>
  <c r="AY569" i="3"/>
  <c r="BA6" i="3"/>
  <c r="AY446" i="3"/>
  <c r="AY211" i="3"/>
  <c r="AY221" i="3"/>
  <c r="AY32" i="3"/>
  <c r="AY500" i="3"/>
  <c r="AY458" i="3"/>
  <c r="AY489" i="3"/>
  <c r="AY242" i="3"/>
  <c r="AY287" i="3"/>
  <c r="AY385" i="3"/>
  <c r="AY15" i="3"/>
  <c r="AY220"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73" i="3"/>
  <c r="AY301" i="3"/>
  <c r="AY466" i="3"/>
  <c r="AY496" i="3"/>
  <c r="AY474" i="3"/>
  <c r="AY482" i="3"/>
  <c r="AY441" i="3"/>
  <c r="AY491" i="3"/>
  <c r="AY196" i="3"/>
  <c r="AY165" i="3"/>
  <c r="AY570" i="3"/>
  <c r="AY255" i="3"/>
  <c r="AY521" i="3"/>
  <c r="AY354" i="3"/>
  <c r="BE6" i="3"/>
  <c r="AY121" i="3"/>
  <c r="AY508" i="3"/>
  <c r="K19" i="6"/>
  <c r="S6" i="1" s="1"/>
  <c r="K14" i="1"/>
  <c r="K20" i="6"/>
  <c r="K24" i="6"/>
  <c r="M24" i="6" s="1"/>
  <c r="I24" i="6" s="1"/>
  <c r="S24" i="6" s="1"/>
  <c r="E30" i="6"/>
  <c r="E31" i="6" s="1"/>
  <c r="K23" i="6"/>
  <c r="M23" i="6" s="1"/>
  <c r="I23" i="6" s="1"/>
  <c r="S23" i="6" s="1"/>
  <c r="K21" i="6"/>
  <c r="K26" i="6"/>
  <c r="M26" i="6" s="1"/>
  <c r="I26" i="6" s="1"/>
  <c r="S26" i="6" s="1"/>
  <c r="K22" i="6"/>
  <c r="M22" i="6" s="1"/>
  <c r="I22" i="6" s="1"/>
  <c r="S22" i="6" s="1"/>
  <c r="K25" i="6"/>
  <c r="M25" i="6" s="1"/>
  <c r="I25" i="6" s="1"/>
  <c r="S25" i="6" s="1"/>
  <c r="D16" i="43"/>
  <c r="C16" i="43" s="1"/>
  <c r="D44" i="9"/>
  <c r="D46" i="9"/>
  <c r="D10" i="11"/>
  <c r="L38" i="9"/>
  <c r="B14" i="66" s="1"/>
  <c r="B1" i="66" s="1"/>
  <c r="D45" i="9"/>
  <c r="C21" i="4"/>
  <c r="O5" i="54" s="1"/>
  <c r="B45" i="63" s="1"/>
  <c r="D13" i="11"/>
  <c r="C13" i="11" s="1"/>
  <c r="E64" i="39"/>
  <c r="E59" i="40"/>
  <c r="E63" i="39"/>
  <c r="E16" i="6"/>
  <c r="E58" i="40"/>
  <c r="E67" i="39"/>
  <c r="E62" i="40"/>
  <c r="S7" i="34"/>
  <c r="AA7" i="34"/>
  <c r="R49" i="34" s="1"/>
  <c r="J7" i="34"/>
  <c r="H7" i="34"/>
  <c r="AA7" i="21"/>
  <c r="R48" i="21" s="1"/>
  <c r="S7" i="21"/>
  <c r="AB7" i="33"/>
  <c r="T48" i="33" s="1"/>
  <c r="G48" i="33" s="1"/>
  <c r="U7" i="33"/>
  <c r="AA12" i="39"/>
  <c r="S12" i="39"/>
  <c r="AC12" i="39"/>
  <c r="W12" i="39"/>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A12" i="40"/>
  <c r="AC12" i="40"/>
  <c r="W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B65" i="39"/>
  <c r="F65" i="39" s="1"/>
  <c r="B60" i="39"/>
  <c r="F60" i="39" s="1"/>
  <c r="B63" i="39"/>
  <c r="B62" i="39"/>
  <c r="F62" i="39" s="1"/>
  <c r="B64" i="39"/>
  <c r="B66" i="39"/>
  <c r="F66" i="39" s="1"/>
  <c r="B58" i="39"/>
  <c r="F58" i="39" s="1"/>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G20" i="46" s="1"/>
  <c r="P28" i="46"/>
  <c r="O28" i="46"/>
  <c r="AE8" i="1"/>
  <c r="D22" i="12"/>
  <c r="F33" i="12"/>
  <c r="D16" i="12"/>
  <c r="C22" i="12" l="1"/>
  <c r="C20" i="12" s="1"/>
  <c r="C34" i="12"/>
  <c r="D33" i="12" s="1"/>
  <c r="E41" i="70"/>
  <c r="C41" i="70" s="1"/>
  <c r="C20" i="70"/>
  <c r="M21" i="6"/>
  <c r="I21" i="6" s="1"/>
  <c r="S21" i="6" s="1"/>
  <c r="S8" i="1"/>
  <c r="M20" i="6"/>
  <c r="I20" i="6" s="1"/>
  <c r="S20" i="6" s="1"/>
  <c r="S7" i="1"/>
  <c r="S16" i="1" s="1"/>
  <c r="F67" i="39"/>
  <c r="AY549" i="3"/>
  <c r="AY361" i="3"/>
  <c r="AY157" i="3"/>
  <c r="AY341" i="3"/>
  <c r="AY356" i="3"/>
  <c r="D3" i="6"/>
  <c r="AY37" i="3"/>
  <c r="AY203" i="3"/>
  <c r="AY9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464" i="3"/>
  <c r="AY333" i="3"/>
  <c r="AY428" i="3"/>
  <c r="AY82" i="3"/>
  <c r="AY41" i="3"/>
  <c r="AY128"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F64" i="39"/>
  <c r="F63" i="39"/>
  <c r="H20" i="6"/>
  <c r="H22" i="6"/>
  <c r="E41" i="69"/>
  <c r="C41" i="69" s="1"/>
  <c r="C20" i="69"/>
  <c r="E41" i="46"/>
  <c r="C41" i="46" s="1"/>
  <c r="C20" i="46"/>
  <c r="H26" i="6"/>
  <c r="K27" i="6"/>
  <c r="M19" i="6"/>
  <c r="C8" i="66"/>
  <c r="C7" i="66"/>
  <c r="C6" i="6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J28" i="44"/>
  <c r="J31" i="44" s="1"/>
  <c r="J26" i="44"/>
  <c r="C40" i="44"/>
  <c r="C52" i="15"/>
  <c r="C47" i="15" s="1"/>
  <c r="C10" i="15"/>
  <c r="C5" i="15" s="1"/>
  <c r="J18" i="15"/>
  <c r="J5" i="15"/>
  <c r="F24" i="15"/>
  <c r="C24" i="15" s="1"/>
  <c r="F21" i="43"/>
  <c r="F26" i="12"/>
  <c r="F26" i="44"/>
  <c r="C26" i="44" s="1"/>
  <c r="C20" i="11"/>
  <c r="C21" i="11" s="1"/>
  <c r="C22" i="11" s="1"/>
  <c r="C23" i="11" s="1"/>
  <c r="B2" i="11" s="1"/>
  <c r="F41" i="15"/>
  <c r="L52" i="44"/>
  <c r="D19" i="9"/>
  <c r="F68" i="15" l="1"/>
  <c r="L44" i="9"/>
  <c r="T15" i="70"/>
  <c r="V15" i="70" s="1"/>
  <c r="T13" i="70"/>
  <c r="V13" i="70" s="1"/>
  <c r="T9" i="70"/>
  <c r="V9" i="70" s="1"/>
  <c r="C29" i="70"/>
  <c r="T10" i="70"/>
  <c r="V10" i="70" s="1"/>
  <c r="T6" i="70"/>
  <c r="V6" i="70" s="1"/>
  <c r="T3" i="70"/>
  <c r="V3" i="70" s="1"/>
  <c r="T4" i="70"/>
  <c r="V4" i="70" s="1"/>
  <c r="C37" i="70"/>
  <c r="C35" i="70"/>
  <c r="C33" i="70"/>
  <c r="T14" i="70"/>
  <c r="V14" i="70" s="1"/>
  <c r="T12" i="70"/>
  <c r="V12" i="70" s="1"/>
  <c r="T8" i="70"/>
  <c r="V8" i="70" s="1"/>
  <c r="T16" i="70"/>
  <c r="V16" i="70" s="1"/>
  <c r="T7" i="70"/>
  <c r="V7" i="70" s="1"/>
  <c r="T5" i="70"/>
  <c r="V5" i="70" s="1"/>
  <c r="T11" i="70"/>
  <c r="V11" i="70" s="1"/>
  <c r="T2" i="70"/>
  <c r="V2" i="70" s="1"/>
  <c r="C36" i="70"/>
  <c r="C34" i="70"/>
  <c r="C39" i="70"/>
  <c r="C38" i="70"/>
  <c r="D19" i="6"/>
  <c r="D13" i="6"/>
  <c r="D23" i="6"/>
  <c r="D8" i="6"/>
  <c r="F44" i="9"/>
  <c r="D26" i="6"/>
  <c r="R26" i="6" s="1"/>
  <c r="D12" i="6"/>
  <c r="D5" i="6"/>
  <c r="C22" i="4"/>
  <c r="D10" i="6"/>
  <c r="D6" i="6"/>
  <c r="D20" i="6"/>
  <c r="R20" i="6" s="1"/>
  <c r="R7" i="1" s="1"/>
  <c r="F45" i="9"/>
  <c r="D24" i="6"/>
  <c r="D9" i="6"/>
  <c r="D15" i="6"/>
  <c r="E46" i="9"/>
  <c r="E63" i="40"/>
  <c r="D25" i="6"/>
  <c r="H24" i="6"/>
  <c r="D28" i="6"/>
  <c r="E45" i="9"/>
  <c r="K38" i="9"/>
  <c r="C14" i="66" s="1"/>
  <c r="B2" i="66" s="1"/>
  <c r="D22" i="6"/>
  <c r="R22" i="6" s="1"/>
  <c r="H25" i="6"/>
  <c r="F46" i="9"/>
  <c r="D21" i="6"/>
  <c r="H21" i="6"/>
  <c r="D14" i="6"/>
  <c r="H23" i="6"/>
  <c r="E68" i="39"/>
  <c r="F68" i="39" s="1"/>
  <c r="B2" i="39" s="1"/>
  <c r="D11" i="6"/>
  <c r="D29" i="6"/>
  <c r="E44" i="9"/>
  <c r="C37" i="69"/>
  <c r="C35" i="69"/>
  <c r="C33" i="69"/>
  <c r="T16" i="69"/>
  <c r="V16" i="69" s="1"/>
  <c r="T10" i="69"/>
  <c r="V10" i="69" s="1"/>
  <c r="T14" i="69"/>
  <c r="V14" i="69" s="1"/>
  <c r="T12" i="69"/>
  <c r="V12" i="69" s="1"/>
  <c r="T4" i="69"/>
  <c r="V4" i="69" s="1"/>
  <c r="T9" i="69"/>
  <c r="V9" i="69" s="1"/>
  <c r="T6" i="69"/>
  <c r="V6" i="69" s="1"/>
  <c r="T3" i="69"/>
  <c r="V3" i="69" s="1"/>
  <c r="C36" i="69"/>
  <c r="C34" i="69"/>
  <c r="C29" i="69"/>
  <c r="T11" i="69"/>
  <c r="V11" i="69" s="1"/>
  <c r="T15" i="69"/>
  <c r="V15" i="69" s="1"/>
  <c r="T13" i="69"/>
  <c r="V13" i="69" s="1"/>
  <c r="T7" i="69"/>
  <c r="V7" i="69" s="1"/>
  <c r="T2" i="69"/>
  <c r="V2" i="69" s="1"/>
  <c r="T8" i="69"/>
  <c r="V8" i="69" s="1"/>
  <c r="T5" i="69"/>
  <c r="V5" i="69" s="1"/>
  <c r="C39" i="69"/>
  <c r="C38" i="69"/>
  <c r="T9" i="46"/>
  <c r="V9" i="46" s="1"/>
  <c r="C37" i="46"/>
  <c r="C34" i="46"/>
  <c r="T8" i="46"/>
  <c r="V8" i="46" s="1"/>
  <c r="T15" i="46"/>
  <c r="V15" i="46" s="1"/>
  <c r="T13" i="46"/>
  <c r="V13" i="46" s="1"/>
  <c r="T14" i="46"/>
  <c r="V14" i="46" s="1"/>
  <c r="C35" i="46"/>
  <c r="C33" i="46"/>
  <c r="C36" i="46"/>
  <c r="T11" i="46"/>
  <c r="V11" i="46" s="1"/>
  <c r="T10" i="46"/>
  <c r="V10" i="46" s="1"/>
  <c r="T12" i="46"/>
  <c r="V12" i="46" s="1"/>
  <c r="T16" i="46"/>
  <c r="V16" i="46" s="1"/>
  <c r="C39" i="46"/>
  <c r="C38" i="46"/>
  <c r="M27" i="6"/>
  <c r="I19" i="6"/>
  <c r="T10" i="1"/>
  <c r="T8" i="1"/>
  <c r="M16" i="1"/>
  <c r="T7" i="1"/>
  <c r="T9" i="1"/>
  <c r="T11" i="1"/>
  <c r="O14" i="1"/>
  <c r="T13" i="1"/>
  <c r="N16" i="1"/>
  <c r="C29" i="43" s="1"/>
  <c r="T6" i="1"/>
  <c r="T12" i="1"/>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C27" i="12"/>
  <c r="D26" i="12" s="1"/>
  <c r="C32" i="12" s="1"/>
  <c r="D30" i="12" s="1"/>
  <c r="C59" i="15"/>
  <c r="C65" i="15"/>
  <c r="B3" i="11"/>
  <c r="B5" i="11"/>
  <c r="B4" i="11"/>
  <c r="C23" i="43"/>
  <c r="D21" i="43" s="1"/>
  <c r="J26" i="15"/>
  <c r="J29" i="15" s="1"/>
  <c r="J24" i="15"/>
  <c r="C38" i="15"/>
  <c r="Q49" i="44"/>
  <c r="Q55" i="44" s="1"/>
  <c r="Q67" i="44"/>
  <c r="Q58" i="44"/>
  <c r="D20" i="9"/>
  <c r="C14" i="15"/>
  <c r="C16" i="44"/>
  <c r="D21" i="9"/>
  <c r="G39" i="70" l="1"/>
  <c r="I39" i="70" s="1"/>
  <c r="E39" i="70"/>
  <c r="G36" i="70"/>
  <c r="I36" i="70" s="1"/>
  <c r="E36" i="70"/>
  <c r="G35" i="70"/>
  <c r="I35" i="70" s="1"/>
  <c r="E35" i="70"/>
  <c r="E29" i="70"/>
  <c r="C30" i="70"/>
  <c r="E30" i="70" s="1"/>
  <c r="G38" i="70"/>
  <c r="I38" i="70" s="1"/>
  <c r="E38" i="70"/>
  <c r="G34" i="70"/>
  <c r="I34" i="70" s="1"/>
  <c r="E34" i="70"/>
  <c r="G33" i="70"/>
  <c r="I33" i="70" s="1"/>
  <c r="E33" i="70"/>
  <c r="G37" i="70"/>
  <c r="I37" i="70" s="1"/>
  <c r="E37" i="70"/>
  <c r="D30" i="6"/>
  <c r="D16" i="6"/>
  <c r="D27" i="6"/>
  <c r="B3" i="39"/>
  <c r="B5" i="39"/>
  <c r="B4" i="39"/>
  <c r="R21" i="6"/>
  <c r="R8" i="1" s="1"/>
  <c r="D7" i="66"/>
  <c r="D6" i="66"/>
  <c r="D8" i="66"/>
  <c r="R25" i="6"/>
  <c r="R24" i="6"/>
  <c r="A20" i="64"/>
  <c r="A20" i="51"/>
  <c r="B15" i="63" s="1"/>
  <c r="A6" i="51"/>
  <c r="B7" i="63" s="1"/>
  <c r="A6" i="64"/>
  <c r="N5" i="54"/>
  <c r="B43" i="63" s="1"/>
  <c r="R23" i="6"/>
  <c r="D31" i="6"/>
  <c r="G39" i="69"/>
  <c r="I39" i="69" s="1"/>
  <c r="E39" i="69"/>
  <c r="E29" i="69"/>
  <c r="C30" i="69"/>
  <c r="E30" i="69" s="1"/>
  <c r="G36" i="69"/>
  <c r="I36" i="69" s="1"/>
  <c r="E36" i="69"/>
  <c r="G35" i="69"/>
  <c r="I35" i="69" s="1"/>
  <c r="E35" i="69"/>
  <c r="G38" i="69"/>
  <c r="I38" i="69" s="1"/>
  <c r="E38" i="69"/>
  <c r="G34" i="69"/>
  <c r="I34" i="69" s="1"/>
  <c r="E34" i="69"/>
  <c r="G33" i="69"/>
  <c r="I33" i="69" s="1"/>
  <c r="E33" i="69"/>
  <c r="G37" i="69"/>
  <c r="I37" i="69" s="1"/>
  <c r="E37" i="69"/>
  <c r="G39" i="46"/>
  <c r="I39" i="46" s="1"/>
  <c r="E3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O16" i="1"/>
  <c r="L16" i="1"/>
  <c r="C13" i="43"/>
  <c r="H65" i="40"/>
  <c r="G67" i="40"/>
  <c r="Q68" i="44"/>
  <c r="Q77" i="44" s="1"/>
  <c r="Q59" i="44"/>
  <c r="Q64" i="44" s="1"/>
  <c r="C13" i="12"/>
  <c r="C26" i="70" l="1"/>
  <c r="B2" i="70" s="1"/>
  <c r="D4" i="70" s="1"/>
  <c r="C27" i="70"/>
  <c r="I6" i="6"/>
  <c r="G3" i="46" s="1"/>
  <c r="I5" i="6"/>
  <c r="C27" i="69"/>
  <c r="C26" i="69"/>
  <c r="B2" i="69" s="1"/>
  <c r="C19" i="15"/>
  <c r="C20" i="15" s="1"/>
  <c r="C26" i="15" s="1"/>
  <c r="C21" i="44"/>
  <c r="C22" i="44" s="1"/>
  <c r="C28" i="44" s="1"/>
  <c r="C14" i="43"/>
  <c r="C17" i="43"/>
  <c r="H27" i="6"/>
  <c r="R19" i="6"/>
  <c r="C14" i="12"/>
  <c r="C17" i="12"/>
  <c r="H67" i="40"/>
  <c r="I65" i="40"/>
  <c r="B4" i="70" l="1"/>
  <c r="B3" i="70"/>
  <c r="H22" i="46"/>
  <c r="J22" i="46"/>
  <c r="I101" i="46"/>
  <c r="AD11" i="46"/>
  <c r="AD13" i="46" s="1"/>
  <c r="B113" i="46"/>
  <c r="E101" i="46"/>
  <c r="AG11" i="46"/>
  <c r="AG13" i="46" s="1"/>
  <c r="AI11" i="46"/>
  <c r="AI13" i="46" s="1"/>
  <c r="AB11" i="46"/>
  <c r="AB13" i="46" s="1"/>
  <c r="F22" i="46"/>
  <c r="E22" i="46"/>
  <c r="AA11" i="46"/>
  <c r="AA13" i="46" s="1"/>
  <c r="Y11" i="46"/>
  <c r="Y13" i="46" s="1"/>
  <c r="F101" i="46"/>
  <c r="AC11" i="46"/>
  <c r="AC13" i="46" s="1"/>
  <c r="C101" i="46"/>
  <c r="H101" i="46"/>
  <c r="D101" i="46"/>
  <c r="N101" i="46"/>
  <c r="G101" i="46"/>
  <c r="L101" i="46"/>
  <c r="K101" i="46"/>
  <c r="AH11" i="46"/>
  <c r="AH13" i="46" s="1"/>
  <c r="AE11" i="46"/>
  <c r="AE13" i="46" s="1"/>
  <c r="J101" i="46"/>
  <c r="Z7" i="46"/>
  <c r="Z11" i="46"/>
  <c r="Z13" i="46" s="1"/>
  <c r="AF11" i="46"/>
  <c r="AF13" i="46" s="1"/>
  <c r="G22" i="46"/>
  <c r="M101" i="46"/>
  <c r="AJ11" i="46"/>
  <c r="AJ13" i="46" s="1"/>
  <c r="N104" i="45"/>
  <c r="D4" i="69"/>
  <c r="B3" i="69"/>
  <c r="B4" i="69"/>
  <c r="C25" i="44"/>
  <c r="C31" i="44" s="1"/>
  <c r="C18" i="43"/>
  <c r="C19" i="43" s="1"/>
  <c r="R27" i="6"/>
  <c r="R6" i="1"/>
  <c r="R16" i="1" s="1"/>
  <c r="C18" i="12"/>
  <c r="C23" i="15"/>
  <c r="C29" i="15" s="1"/>
  <c r="I67" i="40"/>
  <c r="J65" i="40"/>
  <c r="M107" i="46" l="1"/>
  <c r="M106" i="46"/>
  <c r="M103" i="46"/>
  <c r="M102" i="46"/>
  <c r="M109" i="46"/>
  <c r="M105" i="46"/>
  <c r="M104" i="46"/>
  <c r="K106" i="46"/>
  <c r="K103" i="46"/>
  <c r="K102" i="46"/>
  <c r="K107" i="46"/>
  <c r="K109" i="46"/>
  <c r="K105" i="46"/>
  <c r="K104" i="46"/>
  <c r="G104" i="46"/>
  <c r="G107" i="46"/>
  <c r="G102" i="46"/>
  <c r="G103" i="46"/>
  <c r="G106" i="46"/>
  <c r="G109" i="46"/>
  <c r="G105" i="46"/>
  <c r="D107" i="46"/>
  <c r="D105" i="46"/>
  <c r="D109" i="46"/>
  <c r="D106" i="46"/>
  <c r="D103" i="46"/>
  <c r="D104" i="46"/>
  <c r="D102" i="46"/>
  <c r="C109" i="46"/>
  <c r="C105" i="46"/>
  <c r="C103" i="46"/>
  <c r="C104" i="46"/>
  <c r="C102" i="46"/>
  <c r="C107" i="46"/>
  <c r="C106" i="46"/>
  <c r="F107" i="46"/>
  <c r="F104" i="46"/>
  <c r="F109" i="46"/>
  <c r="F106" i="46"/>
  <c r="F105" i="46"/>
  <c r="F103" i="46"/>
  <c r="F102" i="46"/>
  <c r="E106" i="46"/>
  <c r="E103" i="46"/>
  <c r="E105" i="46"/>
  <c r="E104" i="46"/>
  <c r="E107" i="46"/>
  <c r="E109" i="46"/>
  <c r="E102" i="46"/>
  <c r="J106" i="46"/>
  <c r="J105" i="46"/>
  <c r="J107" i="46"/>
  <c r="J103" i="46"/>
  <c r="J104" i="46"/>
  <c r="J109" i="46"/>
  <c r="J102" i="46"/>
  <c r="L102" i="46"/>
  <c r="L103" i="46"/>
  <c r="L107" i="46"/>
  <c r="L109" i="46"/>
  <c r="C23" i="46" s="1"/>
  <c r="L106" i="46"/>
  <c r="L105" i="46"/>
  <c r="L104" i="46"/>
  <c r="N105" i="46"/>
  <c r="N106" i="46"/>
  <c r="N109" i="46"/>
  <c r="N104" i="46"/>
  <c r="N107" i="46"/>
  <c r="N102" i="46"/>
  <c r="N103" i="46"/>
  <c r="H102" i="46"/>
  <c r="H105" i="46"/>
  <c r="H107" i="46"/>
  <c r="H109" i="46"/>
  <c r="H103" i="46"/>
  <c r="H104" i="46"/>
  <c r="H106" i="46"/>
  <c r="D22" i="46"/>
  <c r="I116" i="46"/>
  <c r="J116" i="46" s="1"/>
  <c r="K116" i="46" s="1"/>
  <c r="L116" i="46" s="1"/>
  <c r="M116" i="46" s="1"/>
  <c r="B116" i="46"/>
  <c r="C116" i="46" s="1"/>
  <c r="B118" i="46"/>
  <c r="C118" i="46" s="1"/>
  <c r="D116" i="46"/>
  <c r="E116" i="46" s="1"/>
  <c r="F116" i="46" s="1"/>
  <c r="G116" i="46" s="1"/>
  <c r="H116" i="46" s="1"/>
  <c r="I117" i="46"/>
  <c r="J117" i="46" s="1"/>
  <c r="K117" i="46" s="1"/>
  <c r="L117" i="46" s="1"/>
  <c r="M117" i="46" s="1"/>
  <c r="B117" i="46"/>
  <c r="C117" i="46" s="1"/>
  <c r="I115" i="46"/>
  <c r="J115" i="46" s="1"/>
  <c r="K115" i="46" s="1"/>
  <c r="L115" i="46" s="1"/>
  <c r="M115" i="46" s="1"/>
  <c r="I118" i="46"/>
  <c r="J118" i="46" s="1"/>
  <c r="K118" i="46" s="1"/>
  <c r="L118" i="46" s="1"/>
  <c r="M118" i="46" s="1"/>
  <c r="D115" i="46"/>
  <c r="E115" i="46" s="1"/>
  <c r="F115" i="46" s="1"/>
  <c r="G115" i="46" s="1"/>
  <c r="H115" i="46" s="1"/>
  <c r="D118" i="46"/>
  <c r="E118" i="46" s="1"/>
  <c r="F118" i="46" s="1"/>
  <c r="G118" i="46"/>
  <c r="H118" i="46" s="1"/>
  <c r="B115" i="46"/>
  <c r="D117" i="46"/>
  <c r="E117" i="46" s="1"/>
  <c r="F117" i="46" s="1"/>
  <c r="G117" i="46" s="1"/>
  <c r="H117" i="46" s="1"/>
  <c r="I107" i="46"/>
  <c r="I104" i="46"/>
  <c r="I106" i="46"/>
  <c r="I105" i="46"/>
  <c r="I109" i="46"/>
  <c r="I103" i="46"/>
  <c r="I102" i="46"/>
  <c r="C25" i="43"/>
  <c r="C24" i="43" s="1"/>
  <c r="C22" i="43"/>
  <c r="C21" i="43" s="1"/>
  <c r="C23" i="12"/>
  <c r="J14" i="15"/>
  <c r="C13" i="15"/>
  <c r="J59" i="15"/>
  <c r="J60" i="15" s="1"/>
  <c r="C33" i="15"/>
  <c r="C31" i="15" s="1"/>
  <c r="Q50" i="15"/>
  <c r="C36" i="15"/>
  <c r="C56" i="15"/>
  <c r="J19" i="15"/>
  <c r="J17" i="15" s="1"/>
  <c r="C38" i="44"/>
  <c r="C15" i="44"/>
  <c r="Q51" i="44"/>
  <c r="J21" i="44"/>
  <c r="J19" i="44" s="1"/>
  <c r="J16" i="44"/>
  <c r="C35" i="44"/>
  <c r="C33" i="44" s="1"/>
  <c r="J67" i="40"/>
  <c r="K65" i="40"/>
  <c r="S4" i="46" l="1"/>
  <c r="T4" i="46" s="1"/>
  <c r="V4" i="46" s="1"/>
  <c r="S3" i="46"/>
  <c r="T3" i="46" s="1"/>
  <c r="V3" i="46" s="1"/>
  <c r="S5" i="46"/>
  <c r="T5" i="46" s="1"/>
  <c r="V5" i="46" s="1"/>
  <c r="S6" i="46"/>
  <c r="T6" i="46" s="1"/>
  <c r="V6" i="46" s="1"/>
  <c r="S2" i="46"/>
  <c r="T2" i="46" s="1"/>
  <c r="V2" i="46" s="1"/>
  <c r="S7" i="46"/>
  <c r="T7" i="46" s="1"/>
  <c r="V7" i="46" s="1"/>
  <c r="C21" i="46"/>
  <c r="C29" i="46" s="1"/>
  <c r="C30" i="46" s="1"/>
  <c r="E30" i="46" s="1"/>
  <c r="C27" i="46" s="1"/>
  <c r="C115" i="46"/>
  <c r="D113" i="46"/>
  <c r="C28" i="43"/>
  <c r="C30" i="43" s="1"/>
  <c r="C32" i="43" s="1"/>
  <c r="B2" i="43" s="1"/>
  <c r="B5" i="43" s="1"/>
  <c r="J24" i="44"/>
  <c r="J15" i="44"/>
  <c r="J25" i="44" s="1"/>
  <c r="C63" i="15"/>
  <c r="C60" i="15"/>
  <c r="C58" i="15" s="1"/>
  <c r="Q49" i="15"/>
  <c r="J22" i="15"/>
  <c r="J13" i="15"/>
  <c r="J23" i="15" s="1"/>
  <c r="Q72" i="44"/>
  <c r="C39" i="44"/>
  <c r="C32" i="44" s="1"/>
  <c r="C42" i="44" s="1"/>
  <c r="C43" i="44"/>
  <c r="J35" i="15"/>
  <c r="Q71" i="15"/>
  <c r="C37" i="15"/>
  <c r="C30" i="15" s="1"/>
  <c r="C39" i="15" s="1"/>
  <c r="C55" i="15"/>
  <c r="C64" i="15" s="1"/>
  <c r="L65" i="40"/>
  <c r="K67" i="40"/>
  <c r="L51" i="15"/>
  <c r="E29" i="46" l="1"/>
  <c r="C26" i="46" s="1"/>
  <c r="J18" i="44"/>
  <c r="J27" i="44" s="1"/>
  <c r="J16" i="15"/>
  <c r="J25" i="15" s="1"/>
  <c r="B3" i="43"/>
  <c r="B4" i="43"/>
  <c r="C57" i="15"/>
  <c r="C66" i="15" s="1"/>
  <c r="C67" i="15" s="1"/>
  <c r="C70" i="15" s="1"/>
  <c r="L57" i="15"/>
  <c r="L60" i="15" s="1"/>
  <c r="L46" i="15" s="1"/>
  <c r="Q68" i="15"/>
  <c r="C40" i="15"/>
  <c r="Q70" i="15"/>
  <c r="Q69" i="15" s="1"/>
  <c r="Q71" i="44"/>
  <c r="Q70" i="44" s="1"/>
  <c r="C44" i="44"/>
  <c r="C45" i="44" s="1"/>
  <c r="B2" i="44" s="1"/>
  <c r="J39" i="15"/>
  <c r="J40" i="15" s="1"/>
  <c r="L67" i="40"/>
  <c r="M65" i="40"/>
  <c r="F7" i="67"/>
  <c r="E7" i="67"/>
  <c r="E4" i="67" l="1"/>
  <c r="E3" i="67"/>
  <c r="B2" i="46"/>
  <c r="C46" i="15"/>
  <c r="B5" i="44"/>
  <c r="B3" i="44"/>
  <c r="B4" i="44"/>
  <c r="Q66" i="15"/>
  <c r="B2" i="15"/>
  <c r="J42" i="15"/>
  <c r="J43" i="15" s="1"/>
  <c r="C43" i="15"/>
  <c r="Q48" i="15"/>
  <c r="Q54" i="15" s="1"/>
  <c r="Q57" i="15"/>
  <c r="Q67" i="15"/>
  <c r="Q58" i="15"/>
  <c r="N65" i="40"/>
  <c r="N67" i="40" s="1"/>
  <c r="M67" i="40"/>
  <c r="B7" i="67"/>
  <c r="B3" i="15" l="1"/>
  <c r="C10" i="12"/>
  <c r="C6" i="12" s="1"/>
  <c r="Q76" i="15"/>
  <c r="Q63" i="15"/>
  <c r="B2" i="67"/>
  <c r="B4" i="46"/>
  <c r="D4" i="46"/>
  <c r="B3" i="46"/>
  <c r="J9" i="40"/>
  <c r="F9" i="40"/>
  <c r="H9" i="40"/>
  <c r="C24" i="12" l="1"/>
  <c r="C29" i="12"/>
  <c r="B3" i="67"/>
  <c r="B4" i="67"/>
  <c r="S9" i="40"/>
  <c r="AA9" i="40"/>
  <c r="R44" i="40" s="1"/>
  <c r="AB9" i="40"/>
  <c r="T44" i="40" s="1"/>
  <c r="G44" i="40" s="1"/>
  <c r="U9" i="40"/>
  <c r="AC9" i="40"/>
  <c r="V44" i="40" s="1"/>
  <c r="I44" i="40" s="1"/>
  <c r="W9" i="40"/>
  <c r="C35" i="12" l="1"/>
  <c r="C33" i="12" s="1"/>
  <c r="C28" i="12"/>
  <c r="C26" i="12" s="1"/>
  <c r="C31" i="12" s="1"/>
  <c r="C30" i="12" s="1"/>
  <c r="C36" i="12" s="1"/>
  <c r="B2" i="12" s="1"/>
  <c r="R45" i="40"/>
  <c r="E44" i="40"/>
  <c r="I49" i="40" s="1"/>
  <c r="J49" i="40" s="1"/>
  <c r="I48" i="40"/>
  <c r="J48" i="40" s="1"/>
  <c r="G49" i="40"/>
  <c r="H49" i="40" s="1"/>
  <c r="G48" i="40"/>
  <c r="H48" i="40" s="1"/>
  <c r="C19" i="9"/>
  <c r="B5" i="12"/>
  <c r="D22" i="9" l="1"/>
  <c r="G19" i="9"/>
  <c r="L43" i="9"/>
  <c r="E48" i="40"/>
  <c r="F48" i="40" s="1"/>
  <c r="E49" i="40"/>
  <c r="F49" i="40" s="1"/>
  <c r="C44" i="40"/>
  <c r="C45" i="40"/>
  <c r="B3" i="12"/>
  <c r="C20" i="9" s="1"/>
  <c r="B4" i="12"/>
  <c r="G20" i="9" l="1"/>
  <c r="N43" i="9"/>
  <c r="C32" i="9"/>
  <c r="G22" i="9"/>
  <c r="B55" i="40"/>
  <c r="F55" i="40" s="1"/>
  <c r="B53" i="40"/>
  <c r="F53" i="40" s="1"/>
  <c r="B57" i="40"/>
  <c r="F57" i="40" s="1"/>
  <c r="F63" i="40"/>
  <c r="B2" i="40" s="1"/>
  <c r="B56" i="40"/>
  <c r="F56" i="40" s="1"/>
  <c r="B60" i="40"/>
  <c r="F60" i="40" s="1"/>
  <c r="B61" i="40"/>
  <c r="F61" i="40" s="1"/>
  <c r="B58" i="40"/>
  <c r="F58" i="40" s="1"/>
  <c r="B59" i="40"/>
  <c r="F59" i="40" s="1"/>
  <c r="B54" i="40"/>
  <c r="F54" i="40" s="1"/>
  <c r="B62" i="40"/>
  <c r="F62" i="40" s="1"/>
  <c r="C21" i="9"/>
  <c r="G21" i="9" l="1"/>
  <c r="O38" i="9"/>
  <c r="C42" i="9"/>
  <c r="C34" i="9"/>
  <c r="C35" i="9"/>
  <c r="F42" i="9" s="1"/>
  <c r="C33" i="9"/>
  <c r="O43" i="9"/>
  <c r="B5" i="40"/>
  <c r="B4" i="40"/>
  <c r="B3" i="40"/>
  <c r="R5" i="54" l="1"/>
  <c r="B48" i="63" s="1"/>
  <c r="D63" i="9"/>
  <c r="N68" i="9"/>
  <c r="D14" i="66"/>
  <c r="D42" i="9"/>
  <c r="Q5" i="54" s="1"/>
  <c r="B47" i="63" s="1"/>
  <c r="N38" i="9"/>
  <c r="K28" i="9" s="1"/>
  <c r="E42" i="9"/>
  <c r="P5" i="54" s="1"/>
  <c r="B46" i="63" s="1"/>
  <c r="M38" i="9"/>
  <c r="K27" i="9" s="1"/>
  <c r="K25" i="9"/>
  <c r="K26" i="9"/>
  <c r="E14" i="66" l="1"/>
  <c r="B5" i="66"/>
  <c r="F14" i="66"/>
  <c r="C82" i="9"/>
  <c r="C81" i="9" s="1"/>
  <c r="C85" i="9" s="1"/>
  <c r="C86" i="9" s="1"/>
  <c r="D72" i="9" s="1"/>
  <c r="C111" i="9"/>
  <c r="C104" i="9" s="1"/>
  <c r="D70" i="9"/>
  <c r="C96" i="9"/>
  <c r="C91" i="9" s="1"/>
  <c r="C90" i="9"/>
  <c r="C103" i="9"/>
  <c r="C113" i="9" s="1"/>
  <c r="D71" i="9"/>
  <c r="D66" i="9" s="1"/>
  <c r="N72" i="9" s="1"/>
  <c r="D77" i="9"/>
  <c r="N75" i="9" s="1"/>
  <c r="C97" i="9" l="1"/>
  <c r="D5" i="66"/>
  <c r="C5" i="66"/>
  <c r="C114" i="9"/>
  <c r="E114" i="9" s="1"/>
  <c r="E115" i="9" s="1"/>
  <c r="C115" i="9" l="1"/>
  <c r="D76" i="9" s="1"/>
  <c r="D74" i="9" s="1"/>
  <c r="N74" i="9" s="1"/>
  <c r="O77" i="9" s="1"/>
  <c r="O79" i="9" s="1"/>
  <c r="C98" i="9"/>
  <c r="E98" i="9" s="1"/>
  <c r="E99" i="9" s="1"/>
  <c r="C99" i="9"/>
  <c r="Q77" i="9" l="1"/>
  <c r="O78"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<sst xmlns="http://schemas.openxmlformats.org/spreadsheetml/2006/main" count="7936" uniqueCount="3261">
  <si>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</si>
  <si>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</si>
  <si>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</si>
  <si>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</si>
  <si>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</si>
  <si>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</si>
  <si>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</si>
  <si>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</si>
  <si>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</si>
  <si>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</si>
  <si>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</si>
  <si>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</si>
  <si>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</si>
  <si>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</si>
  <si>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</si>
  <si>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</si>
  <si>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</si>
  <si>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</si>
  <si>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</si>
  <si>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</si>
  <si>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</si>
  <si>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</si>
  <si>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</si>
  <si>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</si>
  <si>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</si>
  <si>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</si>
  <si>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</si>
  <si>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</si>
  <si>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</si>
  <si>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</si>
  <si>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</si>
  <si>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</si>
  <si>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</si>
  <si>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</si>
  <si>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</si>
  <si>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</si>
  <si>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</si>
  <si>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</si>
  <si>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</si>
  <si>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</si>
  <si>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</si>
  <si>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</si>
  <si>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</si>
  <si>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</si>
  <si>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</si>
  <si>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</si>
  <si>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</si>
  <si>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</si>
  <si>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</si>
  <si>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</si>
  <si>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</si>
  <si>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</si>
  <si>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</si>
  <si>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</si>
  <si>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</si>
  <si>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</si>
  <si>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</si>
  <si>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</si>
  <si>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</si>
  <si>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</si>
  <si>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</si>
  <si>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</si>
  <si>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</si>
  <si>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</si>
  <si>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</si>
  <si>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</si>
  <si>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</si>
  <si>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</si>
  <si>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</si>
  <si>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</si>
  <si>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</si>
  <si>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</si>
  <si>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</si>
  <si>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</si>
  <si>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</si>
  <si>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</si>
  <si>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</si>
  <si>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</si>
  <si>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</si>
  <si>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</si>
  <si>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</si>
  <si>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</si>
  <si>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</si>
  <si>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</si>
  <si>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</si>
  <si>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</si>
  <si>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</si>
  <si>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</si>
  <si>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</si>
  <si>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</si>
  <si>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</si>
  <si>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</si>
  <si>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</si>
  <si>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</si>
  <si>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</si>
  <si>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</si>
  <si>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</si>
  <si>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</si>
  <si>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</si>
  <si>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</si>
  <si>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</si>
  <si>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</si>
  <si>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</si>
  <si>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</si>
  <si>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</si>
  <si>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</si>
  <si>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</si>
  <si>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</si>
  <si>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</si>
  <si>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</si>
  <si>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</si>
  <si>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</si>
  <si>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</si>
  <si>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</si>
  <si>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</si>
  <si>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</si>
  <si>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</si>
  <si>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</si>
  <si>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</si>
  <si>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</si>
  <si>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</si>
  <si>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</si>
  <si>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</si>
  <si>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</si>
  <si>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</si>
  <si>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</si>
  <si>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</si>
  <si>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</si>
  <si>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</si>
  <si>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</si>
  <si>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</si>
  <si>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</si>
  <si>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</si>
  <si>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</si>
  <si>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</si>
  <si>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</si>
  <si>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</si>
  <si>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</si>
  <si>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</si>
  <si>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</si>
  <si>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</si>
  <si>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</si>
  <si>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</si>
  <si>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</si>
  <si>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</si>
  <si>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</si>
  <si>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</si>
  <si>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</si>
  <si>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</si>
  <si>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</si>
  <si>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</si>
  <si>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</si>
  <si>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</si>
  <si>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</si>
  <si>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</si>
  <si>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</si>
  <si>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</si>
  <si>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</si>
  <si>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</si>
  <si>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</si>
  <si>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</si>
  <si>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</si>
  <si>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</si>
  <si>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</si>
  <si>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</si>
  <si>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</si>
  <si>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</si>
  <si>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</si>
  <si>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</si>
  <si>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</si>
  <si>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</si>
  <si>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</si>
  <si>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</si>
  <si>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</si>
  <si>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</si>
  <si>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</si>
  <si>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</si>
  <si>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</si>
  <si>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</si>
  <si>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</si>
  <si>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</si>
  <si>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</si>
  <si>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</si>
  <si>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</si>
  <si>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</si>
  <si>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</si>
  <si>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</si>
  <si>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</si>
  <si>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</si>
  <si>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</si>
  <si>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</si>
  <si>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</si>
  <si>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</si>
  <si>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</si>
  <si>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</si>
  <si>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</si>
  <si>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</si>
  <si>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</si>
  <si>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</si>
  <si>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</si>
  <si>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</si>
  <si>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</si>
  <si>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</si>
  <si>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</si>
  <si>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</si>
  <si>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</si>
  <si>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</si>
  <si>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</si>
  <si>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</si>
  <si>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</si>
  <si>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</si>
  <si>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</si>
  <si>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</si>
  <si>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</si>
  <si>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</si>
  <si>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</si>
  <si>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</si>
  <si>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</si>
  <si>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</si>
  <si>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</si>
  <si>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</si>
  <si>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</si>
  <si>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</si>
  <si>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</si>
  <si>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</si>
  <si>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</si>
  <si>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</si>
  <si>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</si>
  <si>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</si>
  <si>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</si>
  <si>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</si>
  <si>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</si>
  <si>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</si>
  <si>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</si>
  <si>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</si>
  <si>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</si>
  <si>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</si>
  <si>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</si>
  <si>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</si>
  <si>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</si>
  <si>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</si>
  <si>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</si>
  <si>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</si>
  <si>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</si>
  <si>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</si>
  <si>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</si>
  <si>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</si>
  <si>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</si>
  <si>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</si>
  <si>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</si>
  <si>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</si>
  <si>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</si>
  <si>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</si>
  <si>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</si>
  <si>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</si>
  <si>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</si>
  <si>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</si>
  <si>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</si>
  <si>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</si>
  <si>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</si>
  <si>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</si>
  <si>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</si>
  <si>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</si>
  <si>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</si>
  <si>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</si>
  <si>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</si>
  <si>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</si>
  <si>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</si>
  <si>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</si>
  <si>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</si>
  <si>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</si>
  <si>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</si>
  <si>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</si>
  <si>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</si>
  <si>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</si>
  <si>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</si>
  <si>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</si>
  <si>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</si>
  <si>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</si>
  <si>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</si>
  <si>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</si>
  <si>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</si>
  <si>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</si>
  <si>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</si>
  <si>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</si>
  <si>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</si>
  <si>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</si>
  <si>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</si>
  <si>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</si>
  <si>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</si>
  <si>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</si>
  <si>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</si>
  <si>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</si>
  <si>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</si>
  <si>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</si>
  <si>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</si>
  <si>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</si>
  <si>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</si>
  <si>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</si>
  <si>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</si>
  <si>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</si>
  <si>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</si>
  <si>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</si>
  <si>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</si>
  <si>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</si>
  <si>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</si>
  <si>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</si>
  <si>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</si>
  <si>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</si>
  <si>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</si>
  <si>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</si>
  <si>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</si>
  <si>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</si>
  <si>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</si>
  <si>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</si>
  <si>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</si>
  <si>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</si>
  <si>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</si>
  <si>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</si>
  <si>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</si>
  <si>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</si>
  <si>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</si>
  <si>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</si>
  <si>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</si>
  <si>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</si>
  <si>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</si>
  <si>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</si>
  <si>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</si>
  <si>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</si>
  <si>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</si>
  <si>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</si>
  <si>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</si>
  <si>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</si>
  <si>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</si>
  <si>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</si>
  <si>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</si>
  <si>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</si>
  <si>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</si>
  <si>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</si>
  <si>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</si>
  <si>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</si>
  <si>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</si>
  <si>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</si>
  <si>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</si>
  <si>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</si>
  <si>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</si>
  <si>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</si>
  <si>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</si>
  <si>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</si>
  <si>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</si>
  <si>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</si>
  <si>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</si>
  <si>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</si>
  <si>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</si>
  <si>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</si>
  <si>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</si>
  <si>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</si>
  <si>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</si>
  <si>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</si>
  <si>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</si>
  <si>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</si>
  <si>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</si>
  <si>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</si>
  <si>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</si>
  <si>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</si>
  <si>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</si>
  <si>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</si>
  <si>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</si>
  <si>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</si>
  <si>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</si>
  <si>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</si>
  <si>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</si>
  <si>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</si>
  <si>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</si>
  <si>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</si>
  <si>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</si>
  <si>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</si>
  <si>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</si>
  <si>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</si>
  <si>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</si>
  <si>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</si>
  <si>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</si>
  <si>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</si>
  <si>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</si>
  <si>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</si>
  <si>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</si>
  <si>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</si>
  <si>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</si>
  <si>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</si>
  <si>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</si>
  <si>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</si>
  <si>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</si>
  <si>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</si>
  <si>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</si>
  <si>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</si>
  <si>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</si>
  <si>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</si>
  <si>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</si>
  <si>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</si>
  <si>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</si>
  <si>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</si>
  <si>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</si>
  <si>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</si>
  <si>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</si>
  <si>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</si>
  <si>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</si>
  <si>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</si>
  <si>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</si>
  <si>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</si>
  <si>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</si>
  <si>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</si>
  <si>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</si>
  <si>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</si>
  <si>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</si>
  <si>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</si>
  <si>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</si>
  <si>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</si>
  <si>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</si>
  <si>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</si>
  <si>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</si>
  <si>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</si>
  <si>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</si>
  <si>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</si>
  <si>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</si>
  <si>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</si>
  <si>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</si>
  <si>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</si>
  <si>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</si>
  <si>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</si>
  <si>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</si>
  <si>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</si>
  <si>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</si>
  <si>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</si>
  <si>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</si>
  <si>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</si>
  <si>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</si>
  <si>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</si>
  <si>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</si>
  <si>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</si>
  <si>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</si>
  <si>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</si>
  <si>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</si>
  <si>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</si>
  <si>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</si>
  <si>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</si>
  <si>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</si>
  <si>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</si>
  <si>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</si>
  <si>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</si>
  <si>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</si>
  <si>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</si>
  <si>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</si>
  <si>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</si>
  <si>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</si>
  <si>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</si>
  <si>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</si>
  <si>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</si>
  <si>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</si>
  <si>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</si>
  <si>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</si>
  <si>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</si>
  <si>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</si>
  <si>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</si>
  <si>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</si>
  <si>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</si>
  <si>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</si>
  <si>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</si>
  <si>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</si>
  <si>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</si>
  <si>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</si>
  <si>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</si>
  <si>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</si>
  <si>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</si>
  <si>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</si>
  <si>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</si>
  <si>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</si>
  <si>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</si>
  <si>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</si>
  <si>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</si>
  <si>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</si>
  <si>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</si>
  <si>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</si>
  <si>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</si>
  <si>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</si>
  <si>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</si>
  <si>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</si>
  <si>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</si>
  <si>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</si>
  <si>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</si>
  <si>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</si>
  <si>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</si>
  <si>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</si>
  <si>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</si>
  <si>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</si>
  <si>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</si>
  <si>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</si>
  <si>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</si>
  <si>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</si>
  <si>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</si>
  <si>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</si>
  <si>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</si>
  <si>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</si>
  <si>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</si>
  <si>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</si>
  <si>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</si>
  <si>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</si>
  <si>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</si>
  <si>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</si>
  <si>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</si>
  <si>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</si>
  <si>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</si>
  <si>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</si>
  <si>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</si>
  <si>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</si>
  <si>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</si>
  <si>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</si>
  <si>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</si>
  <si>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</si>
  <si>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</si>
  <si>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</si>
  <si>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</si>
  <si>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</si>
  <si>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</si>
  <si>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</si>
  <si>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</si>
  <si>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</si>
  <si>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</si>
  <si>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</si>
  <si>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</si>
  <si>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</si>
  <si>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</si>
  <si>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</si>
  <si>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</si>
  <si>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</si>
  <si>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</si>
  <si>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</si>
  <si>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</si>
  <si>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</si>
  <si>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</si>
  <si>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</si>
  <si>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</si>
  <si>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</si>
  <si>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</si>
  <si>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</si>
  <si>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</si>
  <si>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</si>
  <si>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</si>
  <si>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</si>
  <si>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</si>
  <si>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</si>
  <si>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</si>
  <si>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</si>
  <si>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</si>
  <si>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</si>
  <si>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</si>
  <si>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</si>
  <si>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</si>
  <si>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</si>
  <si>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</si>
  <si>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</si>
  <si>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</si>
  <si>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</si>
  <si>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</si>
  <si>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</si>
  <si>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</si>
  <si>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</si>
  <si>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</si>
  <si>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</si>
  <si>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</si>
  <si>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</si>
  <si>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</si>
  <si>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</si>
  <si>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</si>
  <si>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</si>
  <si>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</si>
  <si>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</si>
  <si>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</si>
  <si>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</si>
  <si>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</si>
  <si>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</si>
  <si>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</si>
  <si>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</si>
  <si>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</si>
  <si>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</si>
  <si>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</si>
  <si>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</si>
  <si>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</si>
  <si>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</si>
  <si>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</si>
  <si>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</si>
  <si>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</si>
  <si>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</si>
  <si>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</si>
  <si>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</si>
  <si>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</si>
  <si>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</si>
  <si>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</si>
  <si>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</si>
  <si>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</si>
  <si>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</si>
  <si>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</si>
  <si>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</si>
  <si>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</si>
  <si>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</si>
  <si>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</si>
  <si>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</si>
  <si>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</si>
  <si>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</si>
  <si>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</si>
  <si>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</si>
  <si>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</si>
  <si>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</si>
  <si>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</si>
  <si>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</si>
  <si>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</si>
  <si>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</si>
  <si>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</si>
  <si>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</si>
  <si>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</si>
  <si>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</si>
  <si>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</si>
  <si>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</si>
  <si>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</si>
  <si>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</si>
  <si>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</si>
  <si>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</si>
  <si>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</si>
  <si>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</si>
  <si>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</si>
  <si>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</si>
  <si>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</si>
  <si>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</si>
  <si>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</si>
  <si>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</si>
  <si>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</si>
  <si>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</si>
  <si>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</si>
  <si>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</si>
  <si>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</si>
  <si>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</si>
  <si>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</si>
  <si>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</si>
  <si>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</si>
  <si>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</si>
  <si>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</si>
  <si>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</si>
  <si>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</si>
  <si>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</si>
  <si>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</si>
  <si>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</si>
  <si>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</si>
  <si>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</si>
  <si>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</si>
  <si>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</si>
  <si>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</si>
  <si>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</si>
  <si>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</si>
  <si>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</si>
  <si>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</si>
  <si>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</si>
  <si>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</si>
  <si>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</si>
  <si>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</si>
  <si>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</si>
  <si>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</si>
  <si>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</si>
  <si>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</si>
  <si>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</si>
  <si>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</si>
  <si>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</si>
  <si>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</si>
  <si>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</si>
  <si>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</si>
  <si>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</si>
  <si>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</si>
  <si>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</si>
  <si>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</si>
  <si>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</si>
  <si>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</si>
  <si>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</si>
  <si>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</si>
  <si>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</si>
  <si>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</si>
  <si>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</si>
  <si>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</si>
  <si>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</si>
  <si>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</si>
  <si>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</si>
  <si>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</si>
  <si>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</si>
  <si>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</si>
  <si>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</si>
  <si>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</si>
  <si>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</si>
  <si>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</si>
  <si>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</si>
  <si>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</si>
  <si>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</si>
  <si>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</si>
  <si>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</si>
  <si>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</si>
  <si>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</si>
  <si>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</si>
  <si>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</si>
  <si>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</si>
  <si>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</si>
  <si>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</si>
  <si>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</si>
  <si>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</si>
  <si>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</si>
  <si>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</si>
  <si>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</si>
  <si>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</si>
  <si>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</si>
  <si>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</si>
  <si>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</si>
  <si>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</si>
  <si>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</si>
  <si>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</si>
  <si>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</si>
  <si>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</si>
  <si>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</si>
  <si>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</si>
  <si>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</si>
  <si>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</si>
  <si>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</si>
  <si>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</si>
  <si>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</si>
  <si>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</si>
  <si>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</si>
  <si>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</si>
  <si>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</si>
  <si>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</si>
  <si>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</si>
  <si>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</si>
  <si>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</si>
  <si>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</si>
  <si>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</si>
  <si>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</si>
  <si>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</si>
  <si>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</si>
  <si>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</si>
  <si>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</si>
  <si>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</si>
  <si>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</si>
  <si>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</si>
  <si>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</si>
  <si>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</si>
  <si>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</si>
  <si>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</si>
  <si>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</si>
  <si>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</si>
  <si>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</si>
  <si>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</si>
  <si>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</si>
  <si>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</si>
  <si>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</si>
  <si>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</si>
  <si>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</si>
  <si>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</si>
  <si>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</si>
  <si>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</si>
  <si>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</si>
  <si>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</si>
  <si>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</si>
  <si>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</si>
  <si>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</si>
  <si>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</si>
  <si>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</si>
  <si>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</si>
  <si>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</si>
  <si>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</si>
  <si>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</si>
  <si>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</si>
  <si>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</si>
  <si>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</si>
  <si>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</si>
  <si>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</si>
  <si>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</si>
  <si>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</si>
  <si>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</si>
  <si>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</si>
  <si>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</si>
  <si>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</si>
  <si>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</si>
  <si>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</si>
  <si>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</si>
  <si>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</si>
  <si>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</si>
  <si>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</si>
  <si>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</si>
  <si>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</si>
  <si>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</si>
  <si>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</si>
  <si>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</si>
  <si>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</si>
  <si>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</si>
  <si>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</si>
  <si>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</si>
  <si>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</si>
  <si>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</si>
  <si>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</si>
  <si>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</si>
  <si>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</si>
  <si>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</si>
  <si>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</si>
  <si>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</si>
  <si>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</si>
  <si>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</si>
  <si>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</si>
  <si>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</si>
  <si>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</si>
  <si>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</si>
  <si>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</si>
  <si>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</si>
  <si>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</si>
  <si>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</si>
  <si>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</si>
  <si>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</si>
  <si>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</si>
  <si>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</si>
  <si>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</si>
  <si>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</si>
  <si>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</si>
  <si>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</si>
  <si>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</si>
  <si>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</si>
  <si>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</si>
  <si>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</si>
  <si>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</si>
  <si>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</si>
  <si>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</si>
  <si>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</si>
  <si>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</si>
  <si>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</si>
  <si>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</si>
  <si>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</si>
  <si>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</si>
  <si>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</si>
  <si>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</si>
  <si>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</si>
  <si>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</si>
  <si>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</si>
  <si>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</si>
  <si>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</si>
  <si>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</si>
  <si>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</si>
  <si>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</si>
  <si>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</si>
  <si>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</si>
  <si>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</si>
  <si>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</si>
  <si>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</si>
  <si>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</si>
  <si>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</si>
  <si>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</si>
  <si>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</si>
  <si>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</si>
  <si>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</si>
  <si>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</si>
  <si>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</si>
  <si>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</si>
  <si>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</si>
  <si>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</si>
  <si>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</si>
  <si>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</si>
  <si>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</si>
  <si>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</si>
  <si>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</si>
  <si>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</si>
  <si>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</si>
  <si>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</si>
  <si>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</si>
  <si>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</si>
  <si>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</si>
  <si>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</si>
  <si>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</si>
  <si>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</si>
  <si>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</si>
  <si>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</si>
  <si>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</si>
  <si>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</si>
  <si>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</si>
  <si>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</si>
  <si>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</si>
  <si>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</si>
  <si>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</si>
  <si>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</si>
  <si>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</si>
  <si>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</si>
  <si>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</si>
  <si>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</si>
  <si>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</si>
  <si>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</si>
  <si>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</si>
  <si>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</si>
  <si>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</si>
  <si>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</si>
  <si>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</si>
  <si>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</si>
  <si>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</si>
  <si>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</si>
  <si>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</si>
  <si>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</si>
  <si>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</si>
  <si>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</si>
  <si>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</si>
  <si>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</si>
  <si>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</si>
  <si>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</si>
  <si>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</si>
  <si>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</si>
  <si>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</si>
  <si>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</si>
  <si>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</si>
  <si>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</si>
  <si>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</si>
  <si>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</si>
  <si>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</si>
  <si>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</si>
  <si>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</si>
  <si>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</si>
  <si>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</si>
  <si>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</si>
  <si>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</si>
  <si>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</si>
  <si>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</si>
  <si>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</si>
  <si>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</si>
  <si>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</si>
  <si>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</si>
  <si>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</si>
  <si>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</si>
  <si>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</si>
  <si>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</si>
  <si>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</si>
  <si>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</si>
  <si>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</si>
  <si>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</si>
  <si>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</si>
  <si>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</si>
  <si>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</si>
  <si>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</si>
  <si>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</si>
  <si>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</si>
  <si>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</si>
  <si>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</si>
  <si>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</si>
  <si>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</si>
  <si>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</si>
  <si>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</si>
  <si>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</si>
  <si>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</si>
  <si>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</si>
  <si>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</si>
  <si>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</si>
  <si>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</si>
  <si>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</si>
  <si>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</si>
  <si>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</si>
  <si>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</si>
  <si>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</si>
  <si>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</si>
  <si>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</si>
  <si>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</si>
  <si>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</si>
  <si>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</si>
  <si>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</si>
  <si>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</si>
  <si>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</si>
  <si>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</si>
  <si>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</si>
  <si>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</si>
  <si>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</si>
  <si>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</si>
  <si>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</si>
  <si>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</si>
  <si>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</si>
  <si>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</si>
  <si>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</si>
  <si>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</si>
  <si>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</si>
  <si>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</si>
  <si>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</si>
  <si>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</si>
  <si>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</si>
  <si>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</si>
  <si>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</si>
  <si>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</si>
  <si>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</si>
  <si>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</si>
  <si>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</si>
  <si>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</si>
  <si>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</si>
  <si>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</si>
  <si>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</si>
  <si>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</si>
  <si>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</si>
  <si>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</si>
  <si>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</si>
  <si>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</si>
  <si>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</si>
  <si>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</si>
  <si>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</si>
  <si>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</si>
  <si>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</si>
  <si>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</si>
  <si>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</si>
  <si>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</si>
  <si>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</si>
  <si>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</si>
  <si>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</si>
  <si>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</si>
  <si>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</si>
  <si>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</si>
  <si>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</si>
  <si>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</si>
  <si>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</si>
  <si>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</si>
  <si>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</si>
  <si>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</si>
  <si>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</si>
  <si>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</si>
  <si>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</si>
  <si>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</si>
  <si>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</si>
  <si>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</si>
  <si>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</si>
  <si>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</si>
  <si>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</si>
  <si>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</si>
  <si>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</si>
  <si>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</si>
  <si>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</si>
  <si>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</si>
  <si>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</si>
  <si>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</si>
  <si>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</si>
  <si>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</si>
  <si>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</si>
  <si>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</si>
  <si>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</si>
  <si>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</si>
  <si>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</si>
  <si>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</si>
  <si>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</si>
  <si>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</si>
  <si>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</si>
  <si>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</si>
  <si>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</si>
  <si>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</si>
  <si>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</si>
  <si>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</si>
  <si>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</si>
  <si>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</si>
  <si>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</si>
  <si>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</si>
  <si>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</si>
  <si>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</si>
  <si>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</si>
  <si>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</si>
  <si>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</si>
  <si>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</si>
  <si>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</si>
  <si>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</si>
  <si>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</si>
  <si>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</si>
  <si>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</si>
  <si>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</si>
  <si>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</si>
  <si>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</si>
  <si>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</si>
  <si>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</si>
  <si>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</si>
  <si>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</si>
  <si>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</si>
  <si>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</si>
  <si>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</si>
  <si>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</si>
  <si>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</si>
  <si>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</si>
  <si>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</si>
  <si>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</si>
  <si>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</si>
  <si>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</si>
  <si>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</si>
  <si>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</si>
  <si>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</si>
  <si>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</si>
  <si>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</si>
  <si>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</si>
  <si>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</si>
  <si>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</si>
  <si>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</si>
  <si>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</si>
  <si>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</si>
  <si>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</si>
  <si>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</si>
  <si>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</si>
  <si>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</si>
  <si>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</si>
  <si>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</si>
  <si>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</si>
  <si>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</si>
  <si>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</si>
  <si>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</si>
  <si>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</si>
  <si>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</si>
  <si>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</si>
  <si>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</si>
  <si>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</si>
  <si>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</si>
  <si>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</si>
  <si>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</si>
  <si>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</si>
  <si>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</si>
  <si>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</si>
  <si>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</si>
  <si>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</si>
  <si>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</si>
  <si>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</si>
  <si>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</si>
  <si>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</si>
  <si>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</si>
  <si>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</si>
  <si>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</si>
  <si>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</si>
  <si>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</si>
  <si>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</si>
  <si>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</si>
  <si>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</si>
  <si>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</si>
  <si>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</si>
  <si>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</si>
  <si>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</si>
  <si>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</si>
  <si>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</si>
  <si>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</si>
  <si>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</si>
  <si>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</si>
  <si>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</si>
  <si>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</si>
  <si>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</si>
  <si>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</si>
  <si>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</si>
  <si>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</si>
  <si>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</si>
  <si>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</si>
  <si>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</si>
  <si>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</si>
  <si>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</si>
  <si>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</si>
  <si>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</si>
  <si>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</si>
  <si>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</si>
  <si>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</si>
  <si>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</si>
  <si>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</si>
  <si>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</si>
  <si>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</si>
  <si>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</si>
  <si>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</si>
  <si>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</si>
  <si>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</si>
  <si>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</si>
  <si>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</si>
  <si>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</si>
  <si>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</si>
  <si>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</si>
  <si>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</si>
  <si>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</si>
  <si>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</si>
  <si>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</si>
  <si>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</si>
  <si>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</si>
  <si>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</si>
  <si>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</si>
  <si>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</si>
  <si>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</si>
  <si>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</si>
  <si>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</si>
  <si>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</si>
  <si>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</si>
  <si>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</si>
  <si>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</si>
  <si>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</si>
  <si>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</si>
  <si>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</si>
  <si>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</si>
  <si>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</si>
  <si>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</si>
  <si>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</si>
  <si>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</si>
  <si>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</si>
  <si>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</si>
  <si>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</si>
  <si>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</si>
  <si>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</si>
  <si>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</si>
  <si>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</si>
  <si>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</si>
  <si>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</si>
  <si>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</si>
  <si>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</si>
  <si>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</si>
  <si>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</si>
  <si>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</si>
  <si>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</si>
  <si>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</si>
  <si>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</si>
  <si>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</si>
  <si>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</si>
  <si>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</si>
  <si>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</si>
  <si>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</si>
  <si>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</si>
  <si>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</si>
  <si>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</si>
  <si>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</si>
  <si>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</si>
  <si>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</si>
  <si>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</si>
  <si>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</si>
  <si>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</si>
  <si>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</si>
  <si>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</si>
  <si>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</si>
  <si>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</si>
  <si>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</si>
  <si>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</si>
  <si>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</si>
  <si>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</si>
  <si>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</si>
  <si>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</si>
  <si>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</si>
  <si>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</si>
  <si>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</si>
  <si>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</si>
  <si>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</si>
  <si>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</si>
  <si>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</si>
  <si>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</si>
  <si>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</si>
  <si>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</si>
  <si>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</si>
  <si>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</si>
  <si>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</si>
  <si>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</si>
  <si>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</si>
  <si>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</si>
  <si>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</si>
  <si>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</si>
  <si>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</si>
  <si>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</si>
  <si>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</si>
  <si>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</si>
  <si>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</si>
  <si>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</si>
  <si>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</si>
  <si>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</si>
  <si>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</si>
  <si>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</si>
  <si>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</si>
  <si>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</si>
  <si>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</si>
  <si>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</si>
  <si>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</si>
  <si>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</si>
  <si>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</si>
  <si>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</si>
  <si>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</si>
  <si>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</si>
  <si>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</si>
  <si>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</si>
  <si>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</si>
  <si>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</si>
  <si>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</si>
  <si>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</si>
  <si>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</si>
  <si>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</si>
  <si>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</si>
  <si>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</si>
  <si>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</si>
  <si>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</si>
  <si>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</si>
  <si>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</si>
  <si>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</si>
  <si>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</si>
  <si>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</si>
  <si>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</si>
  <si>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</si>
  <si>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</si>
  <si>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</si>
  <si>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</si>
  <si>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</si>
  <si>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</si>
  <si>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</si>
  <si>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</si>
  <si>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</si>
  <si>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</si>
  <si>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</si>
  <si>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</si>
  <si>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</si>
  <si>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</si>
  <si>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</si>
  <si>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</si>
  <si>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</si>
  <si>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</si>
  <si>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</si>
  <si>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</si>
  <si>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</si>
  <si>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</si>
  <si>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</si>
  <si>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</si>
  <si>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</si>
  <si>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</si>
  <si>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</si>
  <si>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</si>
  <si>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</si>
  <si>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</si>
  <si>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</si>
  <si>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</si>
  <si>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</si>
  <si>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</si>
  <si>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</si>
  <si>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</si>
  <si>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</si>
  <si>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</si>
  <si>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</si>
  <si>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</si>
  <si>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</si>
  <si>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</si>
  <si>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</si>
  <si>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</si>
  <si>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</si>
  <si>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</si>
  <si>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</si>
  <si>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</si>
  <si>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</si>
  <si>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</si>
  <si>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</si>
  <si>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</si>
  <si>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</si>
  <si>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</si>
  <si>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</si>
  <si>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</si>
  <si>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</si>
  <si>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</si>
  <si>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</si>
  <si>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</si>
  <si>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</si>
  <si>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</si>
  <si>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</si>
  <si>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</si>
  <si>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</si>
  <si>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</si>
  <si>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</si>
  <si>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</si>
  <si>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</si>
  <si>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</si>
  <si>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</si>
  <si>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</si>
  <si>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</si>
  <si>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</si>
  <si>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</si>
  <si>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</si>
  <si>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</si>
  <si>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</si>
  <si>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</si>
  <si>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</si>
  <si>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</si>
  <si>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</si>
  <si>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</si>
  <si>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</si>
  <si>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</si>
  <si>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</si>
  <si>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</si>
  <si>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</si>
  <si>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</si>
  <si>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</si>
  <si>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</si>
  <si>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</si>
  <si>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</si>
  <si>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</si>
  <si>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</si>
  <si>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</si>
  <si>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</si>
  <si>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</si>
  <si>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</si>
  <si>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</si>
  <si>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</si>
  <si>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</si>
  <si>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</si>
  <si>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</si>
  <si>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</si>
  <si>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</si>
  <si>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</si>
  <si>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</si>
  <si>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</si>
  <si>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</si>
  <si>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</si>
  <si>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</si>
  <si>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</si>
  <si>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</si>
  <si>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</si>
  <si>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</si>
  <si>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</si>
  <si>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</si>
  <si>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</si>
  <si>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</si>
  <si>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</si>
  <si>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</si>
  <si>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</si>
  <si>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</si>
  <si>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</si>
  <si>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</si>
  <si>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</si>
  <si>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</si>
  <si>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</si>
  <si>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</si>
  <si>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</si>
  <si>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</si>
  <si>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</si>
  <si>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</si>
  <si>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</si>
  <si>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</si>
  <si>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</si>
  <si>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</si>
  <si>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</si>
  <si>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</si>
  <si>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</si>
  <si>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</si>
  <si>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</si>
  <si>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</si>
  <si>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</si>
  <si>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</si>
  <si>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</si>
  <si>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</si>
  <si>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</si>
  <si>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</si>
  <si>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</si>
  <si>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</si>
  <si>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</si>
  <si>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</si>
  <si>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</si>
  <si>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</si>
  <si>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</si>
  <si>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</si>
  <si>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</si>
  <si>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</si>
  <si>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</si>
  <si>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</si>
  <si>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</si>
  <si>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</si>
  <si>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</si>
  <si>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</si>
  <si>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</si>
  <si>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</si>
  <si>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</si>
  <si>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</si>
  <si>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</si>
  <si>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</si>
  <si>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</si>
  <si>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</si>
  <si>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</si>
  <si>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</si>
  <si>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</si>
  <si>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</si>
  <si>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</si>
  <si>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</si>
  <si>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</si>
  <si>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</si>
  <si>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</si>
  <si>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</si>
  <si>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</si>
  <si>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</si>
  <si>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</si>
  <si>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</si>
  <si>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</si>
  <si>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</si>
  <si>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</si>
  <si>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</si>
  <si>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</si>
  <si>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</si>
  <si>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</si>
  <si>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</si>
  <si>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</si>
  <si>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</si>
  <si>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</si>
  <si>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</si>
  <si>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</si>
  <si>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</si>
  <si>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</si>
  <si>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</si>
  <si>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</si>
  <si>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</si>
  <si>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</si>
  <si>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</si>
  <si>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</si>
  <si>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</si>
  <si>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</si>
  <si>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</si>
  <si>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</si>
  <si>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</si>
  <si>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</si>
  <si>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</si>
  <si>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</si>
  <si>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</si>
  <si>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</si>
  <si>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</si>
  <si>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</si>
  <si>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</si>
  <si>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</si>
  <si>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</si>
  <si>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</si>
  <si>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</si>
  <si>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</si>
  <si>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</si>
  <si>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</si>
  <si>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</si>
  <si>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</si>
  <si>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</si>
  <si>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</si>
  <si>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</si>
  <si>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</si>
  <si>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</si>
  <si>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</si>
  <si>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</si>
  <si>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</si>
  <si>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</si>
  <si>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</si>
  <si>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</si>
  <si>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</si>
  <si>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</si>
  <si>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</si>
  <si>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</si>
  <si>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</si>
  <si>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</si>
  <si>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</si>
  <si>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</si>
  <si>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</si>
  <si>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</si>
  <si>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</si>
  <si>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</si>
  <si>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</si>
  <si>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</si>
  <si>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</si>
  <si>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</si>
  <si>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</si>
  <si>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</si>
  <si>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</si>
  <si>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</si>
  <si>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</si>
  <si>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</si>
  <si>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</si>
  <si>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</si>
  <si>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</si>
  <si>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</si>
  <si>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</si>
  <si>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</si>
  <si>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</si>
  <si>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</si>
  <si>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</si>
  <si>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</si>
  <si>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</si>
  <si>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</si>
  <si>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</si>
  <si>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</si>
  <si>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</si>
  <si>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</si>
  <si>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</si>
  <si>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</si>
  <si>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</si>
  <si>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</si>
  <si>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</si>
  <si>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</si>
  <si>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</si>
  <si>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</si>
  <si>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</si>
  <si>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</si>
  <si>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</si>
  <si>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</si>
  <si>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</si>
  <si>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</si>
  <si>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</si>
  <si>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</si>
  <si>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</si>
  <si>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</si>
  <si>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</si>
  <si>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</si>
  <si>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</si>
  <si>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</si>
  <si>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</si>
  <si>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</si>
  <si>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</si>
  <si>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</si>
  <si>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</si>
  <si>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</si>
  <si>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</si>
  <si>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</si>
  <si>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</si>
  <si>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</si>
  <si>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</si>
  <si>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</si>
  <si>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</si>
  <si>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</si>
  <si>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</si>
  <si>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</si>
  <si>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</si>
  <si>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</si>
  <si>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</si>
  <si>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</si>
  <si>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</si>
  <si>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</si>
  <si>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</si>
  <si>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</si>
  <si>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</si>
  <si>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</si>
  <si>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</si>
  <si>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</si>
  <si>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</si>
  <si>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</si>
  <si>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</si>
  <si>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</si>
  <si>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</si>
  <si>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</si>
  <si>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</si>
  <si>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</si>
  <si>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</si>
  <si>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</si>
  <si>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</si>
  <si>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</si>
  <si>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</si>
  <si>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</si>
  <si>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</si>
  <si>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</si>
  <si>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</si>
  <si>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</si>
  <si>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</si>
  <si>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</si>
  <si>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</si>
  <si>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</si>
  <si>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</si>
  <si>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</si>
  <si>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</si>
  <si>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</si>
  <si>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</si>
  <si>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</si>
  <si>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</si>
  <si>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</si>
  <si>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</si>
  <si>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</si>
  <si>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</si>
  <si>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</si>
  <si>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</si>
  <si>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</si>
  <si>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</si>
  <si>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</si>
  <si>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</si>
  <si>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</si>
  <si>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</si>
  <si>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</si>
  <si>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</si>
  <si>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</si>
  <si>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</si>
  <si>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</si>
  <si>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</si>
  <si>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</si>
  <si>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</si>
  <si>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</si>
  <si>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</si>
  <si>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</si>
  <si>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</si>
  <si>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</si>
  <si>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</si>
  <si>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</si>
  <si>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</si>
  <si>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</si>
  <si>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</si>
  <si>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</si>
  <si>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</si>
  <si>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</si>
  <si>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</si>
  <si>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</si>
  <si>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</si>
  <si>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</si>
  <si>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</si>
  <si>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</si>
  <si>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</si>
  <si>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</si>
  <si>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</si>
  <si>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</si>
  <si>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</si>
  <si>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</si>
  <si>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</si>
  <si>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</si>
  <si>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</si>
  <si>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</si>
  <si>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</si>
  <si>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</si>
  <si>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</si>
  <si>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</si>
  <si>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</si>
  <si>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</si>
  <si>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</si>
  <si>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</si>
  <si>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</si>
  <si>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</si>
  <si>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</si>
  <si>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</si>
  <si>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</si>
  <si>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</si>
  <si>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</si>
  <si>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</si>
  <si>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</si>
  <si>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</si>
  <si>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</si>
  <si>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</si>
  <si>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</si>
  <si>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</si>
  <si>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</si>
  <si>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</si>
  <si>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</si>
  <si>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</si>
  <si>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</si>
  <si>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</si>
  <si>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</si>
  <si>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</si>
  <si>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</si>
  <si>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</si>
  <si>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</si>
  <si>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</si>
  <si>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</si>
  <si>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</si>
  <si>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</si>
  <si>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</si>
  <si>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</si>
  <si>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</si>
  <si>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</si>
  <si>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</si>
  <si>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</si>
  <si>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</si>
  <si>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</si>
  <si>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</si>
  <si>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</si>
  <si>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</si>
  <si>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</si>
  <si>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</si>
  <si>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</si>
  <si>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</si>
  <si>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</si>
  <si>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</si>
  <si>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</si>
  <si>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</si>
  <si>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</si>
  <si>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</si>
  <si>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</si>
  <si>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</si>
  <si>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</si>
  <si>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</si>
  <si>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</si>
  <si>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</si>
  <si>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</si>
  <si>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</si>
  <si>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</si>
  <si>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</si>
  <si>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</si>
  <si>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</si>
  <si>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</si>
  <si>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</si>
  <si>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</si>
  <si>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</si>
  <si>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</si>
  <si>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</si>
  <si>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</si>
  <si>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</si>
  <si>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</si>
  <si>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</si>
  <si>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</si>
  <si>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</si>
  <si>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</si>
  <si>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</si>
  <si>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</si>
  <si>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</si>
  <si>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</si>
  <si>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</si>
  <si>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</si>
  <si>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</si>
  <si>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</si>
  <si>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</si>
  <si>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</si>
  <si>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</si>
  <si>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</si>
  <si>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</si>
  <si>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</si>
  <si>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</si>
  <si>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</si>
  <si>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</si>
  <si>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</si>
  <si>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</si>
  <si>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</si>
  <si>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</si>
  <si>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</si>
  <si>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</si>
  <si>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</si>
  <si>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</si>
  <si>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</si>
  <si>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</si>
  <si>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</si>
  <si>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</si>
  <si>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</si>
  <si>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</si>
  <si>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</si>
  <si>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</si>
  <si>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</si>
  <si>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</si>
  <si>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</si>
  <si>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</si>
  <si>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</si>
  <si>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</si>
  <si>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</si>
  <si>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</si>
  <si>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</si>
  <si>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</si>
  <si>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</si>
  <si>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</si>
  <si>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</si>
  <si>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</si>
  <si>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</si>
  <si>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</si>
  <si>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</si>
  <si>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</si>
  <si>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</si>
  <si>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</si>
  <si>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</si>
  <si>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</si>
  <si>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</si>
  <si>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</si>
  <si>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</si>
  <si>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</si>
  <si>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</si>
  <si>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</si>
  <si>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</si>
  <si>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</si>
  <si>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</si>
  <si>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</si>
  <si>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</si>
  <si>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</si>
  <si>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</si>
  <si>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</si>
  <si>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</si>
  <si>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</si>
  <si>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</si>
  <si>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</si>
  <si>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</si>
  <si>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</si>
  <si>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</si>
  <si>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</si>
  <si>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</si>
  <si>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</si>
  <si>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</si>
  <si>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</si>
  <si>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</si>
  <si>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</si>
  <si>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</si>
  <si>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</si>
  <si>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</si>
  <si>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</si>
  <si>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</si>
  <si>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</si>
  <si>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</si>
  <si>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</si>
  <si>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</si>
  <si>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</si>
  <si>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</si>
  <si>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</si>
  <si>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</si>
  <si>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</si>
  <si>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</si>
  <si>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</si>
  <si>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</si>
  <si>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</si>
  <si>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</si>
  <si>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</si>
  <si>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</si>
  <si>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</si>
  <si>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</si>
  <si>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</si>
  <si>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</si>
  <si>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</si>
  <si>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</si>
  <si>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</si>
  <si>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</si>
  <si>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</si>
  <si>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</si>
  <si>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</si>
  <si>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</si>
  <si>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</si>
  <si>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</si>
  <si>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</si>
  <si>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</si>
  <si>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</si>
  <si>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</si>
  <si>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</si>
  <si>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</si>
  <si>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</si>
  <si>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</si>
  <si>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</si>
  <si>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</si>
  <si>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</si>
  <si>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</si>
  <si>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</si>
  <si>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</si>
  <si>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</si>
  <si>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</si>
  <si>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</si>
  <si>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</si>
  <si>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</si>
  <si>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</si>
  <si>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</si>
  <si>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</si>
  <si>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</si>
  <si>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</si>
  <si>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</si>
  <si>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</si>
  <si>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</si>
  <si>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</si>
  <si>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</si>
  <si>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</si>
  <si>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</si>
  <si>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</si>
  <si>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</si>
  <si>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</si>
  <si>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</si>
  <si>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</si>
  <si>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</si>
  <si>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</si>
  <si>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</si>
  <si>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</si>
  <si>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</si>
  <si>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</si>
  <si>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</si>
  <si>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</si>
  <si>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</si>
  <si>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</si>
  <si>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</si>
  <si>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</si>
  <si>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</si>
  <si>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</si>
  <si>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</si>
  <si>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</si>
  <si>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</si>
  <si>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</si>
  <si>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</si>
  <si>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</si>
  <si>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</si>
  <si>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</si>
  <si>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</si>
  <si>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</si>
  <si>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</si>
  <si>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</si>
  <si>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</si>
  <si>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</si>
  <si>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</si>
  <si>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</si>
  <si>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</si>
  <si>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</si>
  <si>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</si>
  <si>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</si>
  <si>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</si>
  <si>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</si>
  <si>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</si>
  <si>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</si>
  <si>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</si>
  <si>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</si>
  <si>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</si>
  <si>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</si>
  <si>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</si>
  <si>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</si>
  <si>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</si>
  <si>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</si>
  <si>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</si>
  <si>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</si>
  <si>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</si>
  <si>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</si>
  <si>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</si>
  <si>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</si>
  <si>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</si>
  <si>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</si>
  <si>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</si>
  <si>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</si>
  <si>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</si>
  <si>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</si>
  <si>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</si>
  <si>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</si>
  <si>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</si>
  <si>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</si>
  <si>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</si>
  <si>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</si>
  <si>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</si>
  <si>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</si>
  <si>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</si>
  <si>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</si>
  <si>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</si>
  <si>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</si>
  <si>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</si>
  <si>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</si>
  <si>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</si>
  <si>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</si>
  <si>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</si>
  <si>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</si>
  <si>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</si>
  <si>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</si>
  <si>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</si>
  <si>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</si>
  <si>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</si>
  <si>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</si>
  <si>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</si>
  <si>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</si>
  <si>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</si>
  <si>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</si>
  <si>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</si>
  <si>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</si>
  <si>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</si>
  <si>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</si>
  <si>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</si>
  <si>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</si>
  <si>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</si>
  <si>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</si>
  <si>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</si>
  <si>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</si>
  <si>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</si>
  <si>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</si>
  <si>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</si>
  <si>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</si>
  <si>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</si>
  <si>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</si>
  <si>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</si>
  <si>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</si>
  <si>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</si>
  <si>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</si>
  <si>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</si>
  <si>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</si>
  <si>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</si>
  <si>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</si>
  <si>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</si>
  <si>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</si>
  <si>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</si>
  <si>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</si>
  <si>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</si>
  <si>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</si>
  <si>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</si>
  <si>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</si>
  <si>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</si>
  <si>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</si>
  <si>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</si>
  <si>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</si>
  <si>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</si>
  <si>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</si>
  <si>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</si>
  <si>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</si>
  <si>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</si>
  <si>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</si>
  <si>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</si>
  <si>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</si>
  <si>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</si>
  <si>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</si>
  <si>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</si>
  <si>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</si>
  <si>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</si>
  <si>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</si>
  <si>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</si>
  <si>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</si>
  <si>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</si>
  <si>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</si>
  <si>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</si>
  <si>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</si>
  <si>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</si>
  <si>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</si>
  <si>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</si>
  <si>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</si>
  <si>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</si>
  <si>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</si>
  <si>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</si>
  <si>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</si>
  <si>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</si>
  <si>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</si>
  <si>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</si>
  <si>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</si>
  <si>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</si>
  <si>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</si>
  <si>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</si>
  <si>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</si>
  <si>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</si>
  <si>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</si>
  <si>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</si>
  <si>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</si>
  <si>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</si>
  <si>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</si>
  <si>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</si>
  <si>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</si>
  <si>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</si>
  <si>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</si>
  <si>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</si>
  <si>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</si>
  <si>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</si>
  <si>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</si>
  <si>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</si>
  <si>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</si>
  <si>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</si>
  <si>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</si>
  <si>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</si>
  <si>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</si>
  <si>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</si>
  <si>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</si>
  <si>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</si>
  <si>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</si>
  <si>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</si>
  <si>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</si>
  <si>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</si>
  <si>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</si>
  <si>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</si>
  <si>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</si>
  <si>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</si>
  <si>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</si>
  <si>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</si>
  <si>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</si>
  <si>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</si>
  <si>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</si>
  <si>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</si>
  <si>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</si>
  <si>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</si>
  <si>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</si>
  <si>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</si>
  <si>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</si>
  <si>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</si>
  <si>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</si>
  <si>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</si>
  <si>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</si>
  <si>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</si>
  <si>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</si>
  <si>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</si>
  <si>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</si>
  <si>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</si>
  <si>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</si>
  <si>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</si>
  <si>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</si>
  <si>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</si>
  <si>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</si>
  <si>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</si>
  <si>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</si>
  <si>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</si>
  <si>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</si>
  <si>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</si>
  <si>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</si>
  <si>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</si>
  <si>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</si>
  <si>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</si>
  <si>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</si>
  <si>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</si>
  <si>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</si>
  <si>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</si>
  <si>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</si>
  <si>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</si>
  <si>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</si>
  <si>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</si>
  <si>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</si>
  <si>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</si>
  <si>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</si>
  <si>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</si>
  <si>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</si>
  <si>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</si>
  <si>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</si>
  <si>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</si>
  <si>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</si>
  <si>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</si>
  <si>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</si>
  <si>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</si>
  <si>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</si>
  <si>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</si>
  <si>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</si>
  <si>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</si>
  <si>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</si>
  <si>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</si>
  <si>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</si>
  <si>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</si>
  <si>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</si>
  <si>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</si>
  <si>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</si>
  <si>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</si>
  <si>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</si>
  <si>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</si>
  <si>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</si>
  <si>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</si>
  <si>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</si>
  <si>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</si>
  <si>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</si>
  <si>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</si>
  <si>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</si>
  <si>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</si>
  <si>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</si>
  <si>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</si>
  <si>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</si>
  <si>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</si>
  <si>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</si>
  <si>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</si>
  <si>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</si>
  <si>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</si>
  <si>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</si>
  <si>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</si>
  <si>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</si>
  <si>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</si>
  <si>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</si>
  <si>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</si>
  <si>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</si>
  <si>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</si>
  <si>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</si>
  <si>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</si>
  <si>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</si>
  <si>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</si>
  <si>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</si>
  <si>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</si>
  <si>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</si>
  <si>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</si>
  <si>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</si>
  <si>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</si>
  <si>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</si>
  <si>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</si>
  <si>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</si>
  <si>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</si>
  <si>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</si>
  <si>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</si>
  <si>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</si>
  <si>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</si>
  <si>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</si>
  <si>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</si>
  <si>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</si>
  <si>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</si>
  <si>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</si>
  <si>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</si>
  <si>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</si>
  <si>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</si>
  <si>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</si>
  <si>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</si>
  <si>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</si>
  <si>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</si>
  <si>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</si>
  <si>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</si>
  <si>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</si>
  <si>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</si>
  <si>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</si>
  <si>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</si>
  <si>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</si>
  <si>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</si>
  <si>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</si>
  <si>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</si>
  <si>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</si>
  <si>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</si>
  <si>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</si>
  <si>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</si>
  <si>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</si>
  <si>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</si>
  <si>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</si>
  <si>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</si>
  <si>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</si>
  <si>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</si>
  <si>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</si>
  <si>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</si>
  <si>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</si>
  <si>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</si>
  <si>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</si>
  <si>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</si>
  <si>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</si>
  <si>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</si>
  <si>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</si>
  <si>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</si>
  <si>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</si>
  <si>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</si>
  <si>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</si>
  <si>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</si>
  <si>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</si>
  <si>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</si>
  <si>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</si>
  <si>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</si>
  <si>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</si>
  <si>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</si>
  <si>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</si>
  <si>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</si>
  <si>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</si>
  <si>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</si>
  <si>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</si>
  <si>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</si>
  <si>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</si>
  <si>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</si>
  <si>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</si>
  <si>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</si>
  <si>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</si>
  <si>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</si>
  <si>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</si>
  <si>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</si>
  <si>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</si>
  <si>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</si>
  <si>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</si>
  <si>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</si>
  <si>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</si>
  <si>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</si>
  <si>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</si>
  <si>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</si>
  <si>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</si>
  <si>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</si>
  <si>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</si>
  <si>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</si>
  <si>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</si>
  <si>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</si>
  <si>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</si>
  <si>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</si>
  <si>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</si>
  <si>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</si>
  <si>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</si>
  <si>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</si>
  <si>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</si>
  <si>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</si>
  <si>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</si>
  <si>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</si>
  <si>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</si>
  <si>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</si>
  <si>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</si>
  <si>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</si>
  <si>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</si>
  <si>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</si>
  <si>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</si>
  <si>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</si>
  <si>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</si>
  <si>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</si>
  <si>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</si>
  <si>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</si>
  <si>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</si>
  <si>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</si>
  <si>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</si>
  <si>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</si>
  <si>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</si>
  <si>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</si>
  <si>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</si>
  <si>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</si>
  <si>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</si>
  <si>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</si>
  <si>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</si>
  <si>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</si>
  <si>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</si>
  <si>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</si>
  <si>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</si>
  <si>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</si>
  <si>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</si>
  <si>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</si>
  <si>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</si>
  <si>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</si>
  <si>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</si>
  <si>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</si>
  <si>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</si>
  <si>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</si>
  <si>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</si>
  <si>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</si>
  <si>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</si>
  <si>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</si>
  <si>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</si>
  <si>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</si>
  <si>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</si>
  <si>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</si>
  <si>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</si>
  <si>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</si>
  <si>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</si>
  <si>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</si>
  <si>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</si>
  <si>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</si>
  <si>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</si>
  <si>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</si>
  <si>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</si>
  <si>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</si>
  <si>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</si>
  <si>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</si>
  <si>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</si>
  <si>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</si>
  <si>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</si>
  <si>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</si>
  <si>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</si>
  <si>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</si>
  <si>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</si>
  <si>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</si>
  <si>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</si>
  <si>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</si>
  <si>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</si>
  <si>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</si>
  <si>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</si>
  <si>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</si>
  <si>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</si>
  <si>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</si>
  <si>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</si>
  <si>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</si>
  <si>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</si>
  <si>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</si>
  <si>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</si>
  <si>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</si>
  <si>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</si>
  <si>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</si>
  <si>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</si>
  <si>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</si>
  <si>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</si>
  <si>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</si>
  <si>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</si>
  <si>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</si>
  <si>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</si>
  <si>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</si>
  <si>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</si>
  <si>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</si>
  <si>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</si>
  <si>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</si>
  <si>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</si>
  <si>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</si>
  <si>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</si>
  <si>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</si>
  <si>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</si>
  <si>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</si>
  <si>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</si>
  <si>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</si>
  <si>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</si>
  <si>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</si>
  <si>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</si>
  <si>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</si>
  <si>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</si>
  <si>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</si>
  <si>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</si>
  <si>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</si>
  <si>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</si>
  <si>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</si>
  <si>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</si>
  <si>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</si>
  <si>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</si>
  <si>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</si>
  <si>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</si>
  <si>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</si>
  <si>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</si>
  <si>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</si>
  <si>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</si>
  <si>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</si>
  <si>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</si>
  <si>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</si>
  <si>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</si>
  <si>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</si>
  <si>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</si>
  <si>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</si>
  <si>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</si>
  <si>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</si>
  <si>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</si>
  <si>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</si>
  <si>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</si>
  <si>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</si>
  <si>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</si>
  <si>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</si>
  <si>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</si>
  <si>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</si>
  <si>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</si>
  <si>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</si>
  <si>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</si>
  <si>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</si>
  <si>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</si>
  <si>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</si>
  <si>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</si>
  <si>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</si>
  <si>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</si>
  <si>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</si>
  <si>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</si>
  <si>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</si>
  <si>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</si>
  <si>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</si>
  <si>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</si>
  <si>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</si>
  <si>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</si>
  <si>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</si>
  <si>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</si>
  <si>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</si>
  <si>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</si>
  <si>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</si>
  <si>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</si>
  <si>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</si>
  <si>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</si>
  <si>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</si>
  <si>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</si>
  <si>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</si>
  <si>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</si>
  <si>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</si>
  <si>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</si>
  <si>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</si>
  <si>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</si>
  <si>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</si>
  <si>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</si>
  <si>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</si>
  <si>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</si>
  <si>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</si>
  <si>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</si>
  <si>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</si>
  <si>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</si>
  <si>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</si>
  <si>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</si>
  <si>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</si>
  <si>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</si>
  <si>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</si>
  <si>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</si>
  <si>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</si>
  <si>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</si>
  <si>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</si>
  <si>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</si>
  <si>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</si>
  <si>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</si>
  <si>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</si>
  <si>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</si>
  <si>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</si>
  <si>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</si>
  <si>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</si>
  <si>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</si>
  <si>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</si>
  <si>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</si>
  <si>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</si>
  <si>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</si>
  <si>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</si>
  <si>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</si>
  <si>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</si>
  <si>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</si>
  <si>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</si>
  <si>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</si>
  <si>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</si>
  <si>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</si>
  <si>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</si>
  <si>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</si>
  <si>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</si>
  <si>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</si>
  <si>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</si>
  <si>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</si>
  <si>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</si>
  <si>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</si>
  <si>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</si>
  <si>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</si>
  <si>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</si>
  <si>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</si>
  <si>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</si>
  <si>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</si>
  <si>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</si>
  <si>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</si>
  <si>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</si>
  <si>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</si>
  <si>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</si>
  <si>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</si>
  <si>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</si>
  <si>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</si>
  <si>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</si>
  <si>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</si>
  <si>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</si>
  <si>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</si>
  <si>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</si>
  <si>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</si>
  <si>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</si>
  <si>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</si>
  <si>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</si>
  <si>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</si>
  <si>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</si>
  <si>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</si>
  <si>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</si>
  <si>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</si>
  <si>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</si>
  <si>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</si>
  <si>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</si>
  <si>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</si>
  <si>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</si>
  <si>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</si>
  <si>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</si>
  <si>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</si>
  <si>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</si>
  <si>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</si>
  <si>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</si>
  <si>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</si>
  <si>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</si>
  <si>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</si>
  <si>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</si>
  <si>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</si>
  <si>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</si>
  <si>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</si>
  <si>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</si>
  <si>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</si>
  <si>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</si>
  <si>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</si>
  <si>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</si>
  <si>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</si>
  <si>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</si>
  <si>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</si>
  <si>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</si>
  <si>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</si>
  <si>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</si>
  <si>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</si>
  <si>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</si>
  <si>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</si>
  <si>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</si>
  <si>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</si>
  <si>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</si>
  <si>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</si>
  <si>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</si>
  <si>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</si>
  <si>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</si>
  <si>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</si>
  <si>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</si>
  <si>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</si>
  <si>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</si>
  <si>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</si>
  <si>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</si>
  <si>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</si>
  <si>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</si>
  <si>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</si>
  <si>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</si>
  <si>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</si>
  <si>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</si>
  <si>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</si>
  <si>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</si>
  <si>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</si>
  <si>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</si>
  <si>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</si>
  <si>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</si>
  <si>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</si>
  <si>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</si>
  <si>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</si>
  <si>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</si>
  <si>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</si>
  <si>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</si>
  <si>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</si>
  <si>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</si>
  <si>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</si>
  <si>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</si>
  <si>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</si>
  <si>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</si>
  <si>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</si>
  <si>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</si>
  <si>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</si>
  <si>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</si>
  <si>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</si>
  <si>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</si>
  <si>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</si>
  <si>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</si>
  <si>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</si>
  <si>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</si>
  <si>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</si>
  <si>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</si>
  <si>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</si>
  <si>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</si>
  <si>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</si>
  <si>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</si>
  <si>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</si>
  <si>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</si>
  <si>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</si>
  <si>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</si>
  <si>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</si>
  <si>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</si>
  <si>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</si>
  <si>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</si>
  <si>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</si>
  <si>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</si>
  <si>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</si>
  <si>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</si>
  <si>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</si>
  <si>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</si>
  <si>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</si>
  <si>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</si>
  <si>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</si>
  <si>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</si>
  <si>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</si>
  <si>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</si>
  <si>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</si>
  <si>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</si>
  <si>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</si>
  <si>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</si>
  <si>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</si>
  <si>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</si>
  <si>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</si>
  <si>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</si>
  <si>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</si>
  <si>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</si>
  <si>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</si>
  <si>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</si>
  <si>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</si>
  <si>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</si>
  <si>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</si>
  <si>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</si>
  <si>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</si>
  <si>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</si>
  <si>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</si>
  <si>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</si>
  <si>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</si>
  <si>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</si>
  <si>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</si>
  <si>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</si>
  <si>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</si>
  <si>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</si>
  <si>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</si>
  <si>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</si>
  <si>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</si>
  <si>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</si>
  <si>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</si>
  <si>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</si>
  <si>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</si>
  <si>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</si>
  <si>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</si>
  <si>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</si>
  <si>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</si>
  <si>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</si>
  <si>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</si>
  <si>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</si>
  <si>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</si>
  <si>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</si>
  <si>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</si>
  <si>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</si>
  <si>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</si>
  <si>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</si>
  <si>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</si>
  <si>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</si>
  <si>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</si>
  <si>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</si>
  <si>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</si>
  <si>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</si>
  <si>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</si>
  <si>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</si>
  <si>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</si>
  <si>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</si>
  <si>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</si>
  <si>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</si>
  <si>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</si>
  <si>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</si>
  <si>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</si>
  <si>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</si>
  <si>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</si>
  <si>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</si>
  <si>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</si>
  <si>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</si>
  <si>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</si>
  <si>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</si>
  <si>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</si>
  <si>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</si>
  <si>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</si>
  <si>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</si>
  <si>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</si>
  <si>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</si>
  <si>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</si>
  <si>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</si>
  <si>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</si>
  <si>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</si>
  <si>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</si>
  <si>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</si>
  <si>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</si>
  <si>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</si>
  <si>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</si>
  <si>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</si>
  <si>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</si>
  <si>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</si>
  <si>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</si>
  <si>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</si>
  <si>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</si>
  <si>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</si>
  <si>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</si>
  <si>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</si>
  <si>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</si>
  <si>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</si>
  <si>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</si>
  <si>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</si>
  <si>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</si>
  <si>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</si>
  <si>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</si>
  <si>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</si>
  <si>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</si>
  <si>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</si>
  <si>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</si>
  <si>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</si>
  <si>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</si>
  <si>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</si>
  <si>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</si>
  <si>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</si>
  <si>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</si>
  <si>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</si>
  <si>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</si>
  <si>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</si>
  <si>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</si>
  <si>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</si>
  <si>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</si>
  <si>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</si>
  <si>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</si>
  <si>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</si>
  <si>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</si>
  <si>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</si>
  <si>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</si>
  <si>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</si>
  <si>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</si>
  <si>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</si>
  <si>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</si>
  <si>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</si>
  <si>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</si>
  <si>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</si>
  <si>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</si>
  <si>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</si>
  <si>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</si>
  <si>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</si>
  <si>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</si>
  <si>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</si>
  <si>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</si>
  <si>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</si>
  <si>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</si>
  <si>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</si>
  <si>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</si>
  <si>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</si>
  <si>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</si>
  <si>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</si>
  <si>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</si>
  <si>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</si>
  <si>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</si>
  <si>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</si>
  <si>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</si>
  <si>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</si>
  <si>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</si>
  <si>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</si>
  <si>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</si>
  <si>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</si>
  <si>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</si>
  <si>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</si>
  <si>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</si>
  <si>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</si>
  <si>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</si>
  <si>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</si>
  <si>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</si>
  <si>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</si>
  <si>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</si>
  <si>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</si>
  <si>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</si>
  <si>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</si>
  <si>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</si>
  <si>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</si>
  <si>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</si>
  <si>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</si>
  <si>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</si>
  <si>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</si>
  <si>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</si>
  <si>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</si>
  <si>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</si>
  <si>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</si>
  <si>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</si>
  <si>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</si>
  <si>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</si>
  <si>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</si>
  <si>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</si>
  <si>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</si>
  <si>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</si>
  <si>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</si>
  <si>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</si>
  <si>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</si>
  <si>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</si>
  <si>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</si>
  <si>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</si>
  <si>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</si>
  <si>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</si>
  <si>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</si>
  <si>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</si>
  <si>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</si>
  <si>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</si>
  <si>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</si>
  <si>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</si>
  <si>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</si>
  <si>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</si>
  <si>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</si>
  <si>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</si>
  <si>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</si>
  <si>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</si>
  <si>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</si>
  <si>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</si>
  <si>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</si>
  <si>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</si>
  <si>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</si>
  <si>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</si>
  <si>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</si>
  <si>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</si>
  <si>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</si>
  <si>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</si>
  <si>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</si>
  <si>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</si>
  <si>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</si>
  <si>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</si>
  <si>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</si>
  <si>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</si>
  <si>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</si>
  <si>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</si>
  <si>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</si>
  <si>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</si>
  <si>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</si>
  <si>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</si>
  <si>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</si>
  <si>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</si>
  <si>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</si>
  <si>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</si>
  <si>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</si>
  <si>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</si>
  <si>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</si>
  <si>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</si>
  <si>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</si>
  <si>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</si>
  <si>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</si>
  <si>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</si>
  <si>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</si>
  <si>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</si>
  <si>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</si>
  <si>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</si>
  <si>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</si>
  <si>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</si>
  <si>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</si>
  <si>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</si>
  <si>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</si>
  <si>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</si>
  <si>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</si>
  <si>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</si>
  <si>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</si>
  <si>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</si>
  <si>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</si>
  <si>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</si>
  <si>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</si>
  <si>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</si>
  <si>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</si>
  <si>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</si>
  <si>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</si>
  <si>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</si>
  <si>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</si>
  <si>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</si>
  <si>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</si>
  <si>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</si>
  <si>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</si>
  <si>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</si>
  <si>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</si>
  <si>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</si>
  <si>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</si>
  <si>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</si>
  <si>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</si>
  <si>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</si>
  <si>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</si>
  <si>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</si>
  <si>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</si>
  <si>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</si>
  <si>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</si>
  <si>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</si>
  <si>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</si>
  <si>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</si>
  <si>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</si>
  <si>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</si>
  <si>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</si>
  <si>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</si>
  <si>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</si>
  <si>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</si>
  <si>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</si>
  <si>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</si>
  <si>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</si>
  <si>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</si>
  <si>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</si>
  <si>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</si>
  <si>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</si>
  <si>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</si>
  <si>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</si>
  <si>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</si>
  <si>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</si>
  <si>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</si>
  <si>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</si>
  <si>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</si>
  <si>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</si>
  <si>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</si>
  <si>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</si>
  <si>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</si>
  <si>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</si>
  <si>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</si>
  <si>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</si>
  <si>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</si>
  <si>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</si>
  <si>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</si>
  <si>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</si>
  <si>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</si>
  <si>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</si>
  <si>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</si>
  <si>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</si>
  <si>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</si>
  <si>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</si>
  <si>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</si>
  <si>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</si>
  <si>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</si>
  <si>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</si>
  <si>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</si>
  <si>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</si>
  <si>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</si>
  <si>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基准地价（娱乐）</t>
  </si>
  <si>
    <t>基准地价（娱乐）</t>
    <phoneticPr fontId="15" type="noConversion"/>
  </si>
  <si>
    <t>娱乐</t>
  </si>
  <si>
    <t>娱乐</t>
    <phoneticPr fontId="15" type="noConversion"/>
  </si>
  <si>
    <t>旅馆</t>
  </si>
  <si>
    <t>旅馆</t>
    <phoneticPr fontId="15" type="noConversion"/>
  </si>
  <si>
    <t>停车场</t>
  </si>
  <si>
    <t>停车场</t>
    <phoneticPr fontId="15" type="noConversion"/>
  </si>
  <si>
    <t>市场价格</t>
  </si>
  <si>
    <t>房山区青龙湖镇坨里村</t>
    <phoneticPr fontId="7" type="noConversion"/>
  </si>
  <si>
    <t>FS16-0102-0069</t>
    <phoneticPr fontId="4" type="noConversion"/>
  </si>
  <si>
    <t>FS16-0102-0070</t>
    <phoneticPr fontId="4" type="noConversion"/>
  </si>
  <si>
    <t>FS16-0102-0071</t>
    <phoneticPr fontId="4" type="noConversion"/>
  </si>
  <si>
    <t>FS16-0102-0072</t>
  </si>
  <si>
    <t>FS16-0102-0073</t>
  </si>
  <si>
    <t>娱乐</t>
    <phoneticPr fontId="4" type="noConversion"/>
  </si>
  <si>
    <t>旅馆</t>
    <phoneticPr fontId="4" type="noConversion"/>
  </si>
  <si>
    <t>停车场</t>
    <phoneticPr fontId="4" type="noConversion"/>
  </si>
  <si>
    <t>商业金融</t>
    <phoneticPr fontId="4" type="noConversion"/>
  </si>
  <si>
    <t>地上</t>
  </si>
  <si>
    <t>否</t>
  </si>
  <si>
    <t>娱乐</t>
    <phoneticPr fontId="8" type="noConversion"/>
  </si>
  <si>
    <t>文体娱乐用地</t>
  </si>
  <si>
    <t>估价对象容积率</t>
  </si>
  <si>
    <t>无</t>
  </si>
  <si>
    <t>与级别开发程度一致</t>
  </si>
  <si>
    <t>一般</t>
  </si>
  <si>
    <t>较好</t>
  </si>
  <si>
    <t>容积率修正</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</si>
  <si>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</si>
  <si>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</si>
  <si>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</si>
  <si>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</si>
  <si>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</si>
  <si>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</si>
  <si>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</si>
  <si>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</si>
  <si>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</si>
  <si>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</si>
  <si>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</si>
  <si>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</si>
  <si>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</si>
  <si>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</si>
  <si>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</si>
  <si>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</si>
  <si>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</si>
  <si>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</si>
  <si>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2星</t>
  </si>
  <si>
    <t>北京市门头沟区永定镇MC00-0018-0060、0061地块B4综合性商业金融服务业用地</t>
  </si>
  <si>
    <t>2018-02-28</t>
  </si>
  <si>
    <t>金融街融辰(北京)置业有限公司和北京市京西置地有限责任公司联合体</t>
  </si>
  <si>
    <t>3星</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</si>
  <si>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</si>
  <si>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</si>
  <si>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</si>
  <si>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</si>
  <si>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</si>
  <si>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</si>
  <si>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</si>
  <si>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</si>
  <si>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</si>
  <si>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</si>
  <si>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</si>
  <si>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4星</t>
  </si>
  <si>
    <t>房山区拱辰街道FS00-LX07-0097地块</t>
  </si>
  <si>
    <t>2016-09-01</t>
  </si>
  <si>
    <t>北京龙建诚信房地产开发有限公司</t>
  </si>
  <si>
    <t>怀柔区怀柔新城13街区HR00-0013-6005地块</t>
  </si>
  <si>
    <t>2015-12-15</t>
  </si>
  <si>
    <t>北京中关村微纳能源投资有限公司</t>
  </si>
  <si>
    <t>房山区良乡高教园区17-01-08地块(高教园区9号地)</t>
  </si>
  <si>
    <t>2015-11-12</t>
  </si>
  <si>
    <t>房山区房山新城良乡组团东部FS00-LX10-0092等地块(房山区房山线理工大学站4、6号地)</t>
  </si>
  <si>
    <t>2015-11-02</t>
  </si>
  <si>
    <t>门头沟区门头沟新城MC00-0017-6002地块(S1线区域组团02地块西北侧地块)</t>
  </si>
  <si>
    <t>2015-02-10</t>
  </si>
  <si>
    <t>北京龙湖中佰置业有限公司和北京龙湖天行置业有限公司联合体</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</si>
  <si>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</si>
  <si>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</si>
  <si>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</si>
  <si>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</si>
  <si>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</si>
  <si>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</si>
  <si>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</si>
  <si>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</si>
  <si>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</si>
  <si>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</si>
  <si>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</si>
  <si>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基准地价（旅馆）</t>
    <phoneticPr fontId="15" type="noConversion"/>
  </si>
  <si>
    <t>宗地容积率</t>
  </si>
  <si>
    <t>商业</t>
  </si>
  <si>
    <t>住宿餐饮用地</t>
  </si>
  <si>
    <t>不临58条商业街</t>
  </si>
  <si>
    <t>车库</t>
  </si>
  <si>
    <t>停车场1</t>
    <phoneticPr fontId="8" type="noConversion"/>
  </si>
  <si>
    <t>其他商服用地（停车场、停车楼等用地）</t>
  </si>
  <si>
    <t>停车场1</t>
  </si>
  <si>
    <t>已全部缴纳</t>
  </si>
  <si>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</si>
  <si>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</si>
  <si>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</si>
  <si>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</si>
  <si>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</si>
  <si>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</si>
  <si>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</si>
  <si>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</si>
  <si>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</si>
  <si>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</si>
  <si>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</si>
  <si>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</si>
  <si>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</si>
  <si>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</si>
  <si>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</si>
  <si>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</si>
  <si>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</si>
  <si>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</si>
  <si>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</si>
  <si>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</si>
  <si>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</si>
  <si>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</si>
  <si>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</si>
  <si>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</si>
  <si>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</si>
  <si>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</si>
  <si>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</si>
  <si>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</si>
  <si>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</si>
  <si>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</si>
  <si>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</si>
  <si>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</si>
  <si>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</si>
  <si>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</si>
  <si>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</si>
  <si>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</si>
  <si>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</si>
  <si>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</si>
  <si>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</si>
  <si>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</si>
  <si>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</si>
  <si>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</si>
  <si>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</si>
  <si>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</si>
  <si>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</si>
  <si>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</si>
  <si>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</si>
  <si>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</si>
  <si>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</si>
  <si>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</si>
  <si>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</si>
  <si>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</si>
  <si>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</si>
  <si>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</si>
  <si>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</si>
  <si>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</si>
  <si>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</si>
  <si>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</si>
  <si>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</si>
  <si>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</si>
  <si>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</si>
  <si>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</si>
  <si>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</si>
  <si>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</si>
  <si>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</si>
  <si>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</si>
  <si>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</si>
  <si>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</si>
  <si>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</si>
  <si>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</si>
  <si>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</si>
  <si>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</si>
  <si>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</si>
  <si>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</si>
  <si>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</si>
  <si>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</si>
  <si>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</si>
  <si>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</si>
  <si>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</si>
  <si>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</si>
  <si>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</si>
  <si>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</si>
  <si>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</si>
  <si>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</si>
  <si>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</si>
  <si>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</si>
  <si>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</si>
  <si>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</si>
  <si>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</si>
  <si>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</si>
  <si>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</si>
  <si>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</si>
  <si>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</si>
  <si>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</si>
  <si>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</si>
  <si>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</si>
  <si>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</si>
  <si>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</si>
  <si>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</si>
  <si>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</si>
  <si>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</si>
  <si>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</si>
  <si>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</si>
  <si>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</si>
  <si>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</si>
  <si>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</si>
  <si>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</si>
  <si>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</si>
  <si>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</si>
  <si>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</si>
  <si>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</si>
  <si>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</si>
  <si>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</si>
  <si>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</si>
  <si>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</si>
  <si>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</si>
  <si>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</si>
  <si>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</si>
  <si>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</si>
  <si>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</si>
  <si>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</si>
  <si>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</si>
  <si>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</si>
  <si>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</si>
  <si>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</si>
  <si>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</si>
  <si>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</si>
  <si>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</si>
  <si>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</si>
  <si>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</si>
  <si>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</si>
  <si>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</si>
  <si>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</si>
  <si>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</si>
  <si>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</si>
  <si>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</si>
  <si>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</si>
  <si>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</si>
  <si>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</si>
  <si>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</si>
  <si>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</si>
  <si>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</si>
  <si>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</si>
  <si>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</si>
  <si>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</si>
  <si>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</si>
  <si>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</si>
  <si>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</si>
  <si>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</si>
  <si>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</si>
  <si>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</si>
  <si>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</si>
  <si>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</si>
  <si>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</si>
  <si>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</si>
  <si>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</si>
  <si>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第13期</t>
    <phoneticPr fontId="276" type="noConversion"/>
  </si>
  <si>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</si>
  <si>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</si>
  <si>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</si>
  <si>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</si>
  <si>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土地开发补偿费</t>
  </si>
  <si>
    <t>押一</t>
  </si>
  <si>
    <t>不动产收益法</t>
  </si>
  <si>
    <t>钢混</t>
  </si>
  <si>
    <r>
      <rPr>
        <sz val="11"/>
        <color theme="1"/>
        <rFont val="宋体"/>
        <family val="3"/>
        <charset val="134"/>
      </rPr>
      <t>剩余法（停车场</t>
    </r>
    <r>
      <rPr>
        <sz val="11"/>
        <color theme="1"/>
        <rFont val="Arial"/>
        <family val="2"/>
      </rPr>
      <t>0.1)</t>
    </r>
    <phoneticPr fontId="15" type="noConversion"/>
  </si>
  <si>
    <t>成本逼近法</t>
  </si>
  <si>
    <t>自定义容积率</t>
  </si>
  <si>
    <r>
      <rPr>
        <sz val="11"/>
        <color theme="1"/>
        <rFont val="宋体"/>
        <family val="3"/>
        <charset val="134"/>
      </rPr>
      <t>基准地价（停车场</t>
    </r>
    <r>
      <rPr>
        <sz val="11"/>
        <color theme="1"/>
        <rFont val="Arial"/>
        <family val="2"/>
      </rPr>
      <t>0.3)</t>
    </r>
    <phoneticPr fontId="15" type="noConversion"/>
  </si>
  <si>
    <t>基准地价（停车场0.3)</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</si>
</sst>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6" fillId="0" borderId="0" applyNumberFormat="0" applyFill="0" applyBorder="0" applyAlignment="0" applyProtection="0">
      <alignment vertical="top"/>
      <protection locked="0"/>
    </xf>
    <xf numFmtId="0" fontId="287" fillId="18" borderId="0" applyNumberFormat="0" applyBorder="0" applyProtection="0">
      <alignment vertical="center"/>
    </xf>
    <xf numFmtId="0" fontId="287" fillId="19" borderId="0" applyNumberFormat="0" applyBorder="0" applyProtection="0">
      <alignment vertical="center"/>
    </xf>
    <xf numFmtId="0" fontId="287" fillId="20" borderId="0" applyNumberFormat="0" applyBorder="0" applyAlignment="0" applyProtection="0">
      <alignment vertical="center"/>
    </xf>
    <xf numFmtId="0" fontId="288" fillId="21" borderId="154" applyNumberFormat="0" applyProtection="0">
      <alignment vertical="center"/>
    </xf>
  </cellStyleXfs>
  <cellXfs count="355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237" fillId="17" borderId="120" xfId="13" applyFont="1" applyFill="1" applyBorder="1" applyAlignment="1" applyProtection="1">
      <alignment horizontal="center" vertical="center" wrapText="1"/>
    </xf>
    <xf numFmtId="0" fontId="237" fillId="17" borderId="121" xfId="13" applyFont="1" applyFill="1" applyBorder="1" applyAlignment="1" applyProtection="1">
      <alignment horizontal="center" vertical="center" wrapText="1"/>
    </xf>
    <xf numFmtId="183" fontId="150" fillId="0" borderId="2" xfId="3" applyNumberFormat="1" applyFont="1" applyBorder="1" applyAlignment="1" applyProtection="1">
      <alignment horizontal="center" vertical="center"/>
      <protection locked="0"/>
    </xf>
    <xf numFmtId="0" fontId="87" fillId="0" borderId="0" xfId="16"/>
    <xf numFmtId="0" fontId="276" fillId="0" borderId="0" xfId="18" applyFont="1" applyFill="1" applyBorder="1">
      <alignment vertical="center"/>
    </xf>
    <xf numFmtId="0" fontId="278" fillId="0" borderId="2" xfId="18" applyFont="1" applyFill="1" applyBorder="1" applyAlignment="1">
      <alignment horizontal="center" vertical="center"/>
    </xf>
    <xf numFmtId="0" fontId="276" fillId="0" borderId="0" xfId="18" applyFont="1" applyFill="1" applyBorder="1" applyAlignment="1">
      <alignment vertical="center"/>
    </xf>
    <xf numFmtId="0" fontId="279" fillId="0" borderId="2" xfId="18" applyFont="1" applyFill="1" applyBorder="1" applyAlignment="1">
      <alignment horizontal="center" vertical="center"/>
    </xf>
    <xf numFmtId="0" fontId="280" fillId="0" borderId="2" xfId="18" applyNumberFormat="1" applyFont="1" applyFill="1" applyBorder="1" applyAlignment="1">
      <alignment horizontal="center" vertical="center" wrapText="1"/>
    </xf>
    <xf numFmtId="177"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left" vertical="center" wrapText="1"/>
    </xf>
    <xf numFmtId="0" fontId="282" fillId="0" borderId="21" xfId="18" applyFont="1" applyFill="1" applyBorder="1" applyAlignment="1">
      <alignment horizontal="center" vertical="center"/>
    </xf>
    <xf numFmtId="0" fontId="279" fillId="0" borderId="0" xfId="18" applyFont="1" applyFill="1" applyBorder="1">
      <alignment vertical="center"/>
    </xf>
    <xf numFmtId="0" fontId="282" fillId="0" borderId="0" xfId="18" applyFont="1" applyFill="1" applyBorder="1">
      <alignment vertical="center"/>
    </xf>
    <xf numFmtId="0" fontId="282" fillId="0" borderId="2" xfId="18" applyFont="1" applyFill="1" applyBorder="1" applyAlignment="1">
      <alignment horizontal="center" vertical="center"/>
    </xf>
    <xf numFmtId="177" fontId="128" fillId="0" borderId="2" xfId="18" applyNumberFormat="1" applyFont="1" applyFill="1" applyBorder="1" applyAlignment="1">
      <alignment horizontal="center" vertical="center" wrapText="1"/>
    </xf>
    <xf numFmtId="177" fontId="83" fillId="0" borderId="2" xfId="18" applyNumberFormat="1" applyFont="1" applyFill="1" applyBorder="1" applyAlignment="1" applyProtection="1">
      <alignment horizontal="center" vertical="center" wrapText="1"/>
    </xf>
    <xf numFmtId="177" fontId="280" fillId="0" borderId="2" xfId="18" applyNumberFormat="1" applyFont="1" applyFill="1" applyBorder="1" applyAlignment="1">
      <alignment horizontal="center" vertical="center" wrapText="1"/>
    </xf>
    <xf numFmtId="0"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center" vertical="center" wrapText="1"/>
    </xf>
    <xf numFmtId="177" fontId="128" fillId="0" borderId="2" xfId="18" applyNumberFormat="1" applyFont="1" applyFill="1" applyBorder="1" applyAlignment="1" applyProtection="1">
      <alignment horizontal="center" vertical="center" wrapText="1"/>
    </xf>
    <xf numFmtId="0" fontId="279" fillId="6" borderId="2" xfId="18" applyFont="1" applyFill="1" applyBorder="1" applyAlignment="1">
      <alignment horizontal="center" vertical="center"/>
    </xf>
    <xf numFmtId="0" fontId="281" fillId="6" borderId="2" xfId="18" applyNumberFormat="1" applyFont="1" applyFill="1" applyBorder="1" applyAlignment="1">
      <alignment horizontal="center" vertical="center" wrapText="1"/>
    </xf>
    <xf numFmtId="177" fontId="280" fillId="6" borderId="2" xfId="18" applyNumberFormat="1" applyFont="1" applyFill="1" applyBorder="1" applyAlignment="1">
      <alignment horizontal="center" vertical="center" wrapText="1"/>
    </xf>
    <xf numFmtId="177" fontId="83" fillId="6" borderId="2" xfId="18" applyNumberFormat="1" applyFont="1" applyFill="1" applyBorder="1" applyAlignment="1">
      <alignment horizontal="left" vertical="center" wrapText="1"/>
    </xf>
    <xf numFmtId="177" fontId="281" fillId="6" borderId="2" xfId="18" applyNumberFormat="1" applyFont="1" applyFill="1" applyBorder="1" applyAlignment="1">
      <alignment horizontal="center" vertical="center" wrapText="1"/>
    </xf>
    <xf numFmtId="0" fontId="279" fillId="6" borderId="0" xfId="18" applyFont="1" applyFill="1" applyBorder="1">
      <alignment vertical="center"/>
    </xf>
    <xf numFmtId="177" fontId="280" fillId="0" borderId="2" xfId="18" applyNumberFormat="1" applyFont="1" applyBorder="1" applyAlignment="1">
      <alignment horizontal="center" vertical="center" wrapText="1"/>
    </xf>
    <xf numFmtId="177" fontId="281" fillId="0" borderId="2" xfId="18" applyNumberFormat="1" applyFont="1" applyBorder="1" applyAlignment="1">
      <alignment horizontal="center" vertical="center" wrapText="1"/>
    </xf>
    <xf numFmtId="0" fontId="282" fillId="0" borderId="10" xfId="18" applyFont="1" applyFill="1" applyBorder="1" applyAlignment="1">
      <alignment horizontal="center" vertical="center"/>
    </xf>
    <xf numFmtId="177" fontId="83" fillId="6" borderId="2" xfId="18" applyNumberFormat="1" applyFont="1" applyFill="1" applyBorder="1" applyAlignment="1">
      <alignment horizontal="center" vertical="center" wrapText="1"/>
    </xf>
    <xf numFmtId="0" fontId="282" fillId="6" borderId="2" xfId="18" applyFont="1" applyFill="1" applyBorder="1" applyAlignment="1">
      <alignment horizontal="center" vertical="center"/>
    </xf>
    <xf numFmtId="177" fontId="280" fillId="0" borderId="0" xfId="18" applyNumberFormat="1" applyFont="1" applyFill="1" applyBorder="1" applyAlignment="1">
      <alignment horizontal="center" vertical="center"/>
    </xf>
    <xf numFmtId="185" fontId="280" fillId="0" borderId="2" xfId="18" applyNumberFormat="1" applyFont="1" applyFill="1" applyBorder="1" applyAlignment="1">
      <alignment horizontal="center" vertical="center" wrapText="1"/>
    </xf>
    <xf numFmtId="0" fontId="135" fillId="0" borderId="0" xfId="18" applyFont="1" applyFill="1" applyBorder="1" applyAlignment="1">
      <alignment horizontal="center" vertical="center"/>
    </xf>
    <xf numFmtId="0" fontId="279" fillId="0" borderId="2" xfId="18" applyFont="1" applyFill="1" applyBorder="1" applyAlignment="1">
      <alignment horizontal="center" vertical="center" wrapText="1"/>
    </xf>
    <xf numFmtId="177" fontId="165" fillId="8" borderId="2" xfId="18" applyNumberFormat="1" applyFont="1" applyFill="1" applyBorder="1" applyAlignment="1">
      <alignment horizontal="center" vertical="center" wrapText="1"/>
    </xf>
    <xf numFmtId="177" fontId="165" fillId="0" borderId="0" xfId="18" applyNumberFormat="1" applyFont="1" applyFill="1" applyBorder="1">
      <alignment vertical="center"/>
    </xf>
    <xf numFmtId="177" fontId="281" fillId="0" borderId="2" xfId="18" applyNumberFormat="1" applyFont="1" applyBorder="1" applyAlignment="1">
      <alignment horizontal="left" vertical="center" wrapText="1"/>
    </xf>
    <xf numFmtId="185" fontId="165" fillId="0" borderId="2" xfId="18" applyNumberFormat="1" applyFont="1" applyFill="1" applyBorder="1" applyAlignment="1">
      <alignment horizontal="center" vertical="center" wrapText="1"/>
    </xf>
    <xf numFmtId="195" fontId="280" fillId="0" borderId="2" xfId="19" applyNumberFormat="1" applyFont="1" applyFill="1" applyBorder="1" applyAlignment="1">
      <alignment horizontal="center" vertical="center" wrapText="1"/>
    </xf>
    <xf numFmtId="177" fontId="280" fillId="0" borderId="2" xfId="18" applyNumberFormat="1" applyFont="1" applyFill="1" applyBorder="1" applyAlignment="1">
      <alignment horizontal="left" vertical="center" wrapText="1"/>
    </xf>
    <xf numFmtId="0" fontId="280" fillId="0" borderId="2" xfId="19" applyFont="1" applyFill="1" applyBorder="1" applyAlignment="1">
      <alignment horizontal="center" vertical="center" wrapText="1"/>
    </xf>
    <xf numFmtId="0" fontId="165" fillId="0" borderId="0" xfId="18" applyFont="1" applyFill="1" applyBorder="1" applyAlignment="1">
      <alignment horizontal="center" vertical="center"/>
    </xf>
    <xf numFmtId="0" fontId="165" fillId="0" borderId="2" xfId="18" applyFont="1" applyFill="1" applyBorder="1" applyAlignment="1">
      <alignment horizontal="center" vertical="center"/>
    </xf>
    <xf numFmtId="0" fontId="128" fillId="0" borderId="2" xfId="18" applyFont="1" applyFill="1" applyBorder="1" applyAlignment="1">
      <alignment horizontal="center" vertical="center" wrapText="1"/>
    </xf>
    <xf numFmtId="177" fontId="83" fillId="0" borderId="2" xfId="18" applyNumberFormat="1" applyFont="1" applyBorder="1" applyAlignment="1">
      <alignment horizontal="center" vertical="center" wrapText="1"/>
    </xf>
    <xf numFmtId="177" fontId="83" fillId="0" borderId="2" xfId="18" applyNumberFormat="1" applyFont="1" applyBorder="1" applyAlignment="1">
      <alignment horizontal="left" vertical="center" wrapText="1"/>
    </xf>
    <xf numFmtId="0" fontId="128" fillId="0" borderId="2" xfId="18" applyFont="1" applyFill="1" applyBorder="1" applyAlignment="1">
      <alignment horizontal="center" vertical="center"/>
    </xf>
    <xf numFmtId="177" fontId="283" fillId="0" borderId="2" xfId="18" applyNumberFormat="1" applyFont="1" applyFill="1" applyBorder="1" applyAlignment="1">
      <alignment horizontal="center" vertical="center"/>
    </xf>
    <xf numFmtId="177" fontId="283" fillId="0" borderId="0" xfId="18"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8"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128" fillId="6" borderId="2" xfId="18" applyFont="1" applyFill="1" applyBorder="1" applyAlignment="1">
      <alignment horizontal="center" vertical="center" wrapText="1"/>
    </xf>
    <xf numFmtId="185" fontId="280" fillId="6" borderId="2" xfId="18" applyNumberFormat="1" applyFont="1" applyFill="1" applyBorder="1" applyAlignment="1">
      <alignment horizontal="center" vertical="center" wrapText="1"/>
    </xf>
    <xf numFmtId="0" fontId="201" fillId="6" borderId="2" xfId="18" applyFont="1" applyFill="1" applyBorder="1" applyAlignment="1">
      <alignment horizontal="center" vertical="center"/>
    </xf>
    <xf numFmtId="195" fontId="83" fillId="6" borderId="2" xfId="19" applyNumberFormat="1" applyFont="1" applyFill="1" applyBorder="1" applyAlignment="1">
      <alignment horizontal="center" vertical="center" wrapText="1"/>
    </xf>
    <xf numFmtId="0" fontId="83" fillId="6" borderId="2" xfId="19" applyFont="1" applyFill="1" applyBorder="1" applyAlignment="1">
      <alignment horizontal="center" vertical="center" wrapText="1"/>
    </xf>
    <xf numFmtId="0" fontId="282" fillId="6" borderId="0" xfId="18" applyFont="1" applyFill="1" applyBorder="1">
      <alignment vertical="center"/>
    </xf>
    <xf numFmtId="0" fontId="201" fillId="0" borderId="2" xfId="18"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76" fillId="0" borderId="0" xfId="18" applyFont="1" applyFill="1" applyBorder="1" applyAlignment="1">
      <alignment horizontal="left" vertical="center"/>
    </xf>
    <xf numFmtId="0" fontId="276" fillId="0" borderId="0" xfId="18" applyFont="1" applyFill="1" applyBorder="1" applyAlignment="1">
      <alignment horizontal="center" vertical="center"/>
    </xf>
    <xf numFmtId="177" fontId="276" fillId="0" borderId="0" xfId="18" applyNumberFormat="1" applyFont="1" applyFill="1" applyBorder="1" applyAlignment="1">
      <alignment horizontal="center" vertical="center"/>
    </xf>
    <xf numFmtId="0" fontId="72" fillId="6" borderId="11" xfId="0" applyFont="1" applyFill="1" applyBorder="1" applyAlignment="1" applyProtection="1">
      <alignment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7" fillId="0" borderId="2" xfId="19" applyFont="1" applyFill="1" applyBorder="1" applyAlignment="1">
      <alignment horizontal="center" vertical="center" wrapText="1"/>
    </xf>
    <xf numFmtId="0" fontId="277" fillId="0" borderId="2" xfId="19" applyFont="1" applyFill="1" applyBorder="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5" fillId="0" borderId="17" xfId="17" applyFont="1" applyFill="1" applyBorder="1" applyAlignment="1">
      <alignment horizontal="center" vertical="center" wrapText="1"/>
    </xf>
    <xf numFmtId="0" fontId="275" fillId="0" borderId="19" xfId="17" applyFont="1" applyFill="1" applyBorder="1" applyAlignment="1">
      <alignment horizontal="center" vertical="center" wrapText="1"/>
    </xf>
    <xf numFmtId="195" fontId="277" fillId="0" borderId="2" xfId="19" applyNumberFormat="1" applyFont="1" applyFill="1" applyBorder="1" applyAlignment="1">
      <alignment horizontal="center" vertical="center" wrapText="1"/>
    </xf>
    <xf numFmtId="195" fontId="277" fillId="0" borderId="2" xfId="19" applyNumberFormat="1" applyFont="1" applyFill="1" applyBorder="1" applyAlignment="1">
      <alignment horizontal="center" vertical="center"/>
    </xf>
  </cellXfs>
  <cellStyles count="30">
    <cellStyle name="百分比 2" xfId="11"/>
    <cellStyle name="常规" xfId="0" builtinId="0"/>
    <cellStyle name="常规 10" xfId="16"/>
    <cellStyle name="常规 10 2" xfId="18"/>
    <cellStyle name="常规 11" xfId="20"/>
    <cellStyle name="常规 12" xfId="21"/>
    <cellStyle name="常规 16" xfId="1"/>
    <cellStyle name="常规 2" xfId="2"/>
    <cellStyle name="常规 2 2" xfId="3"/>
    <cellStyle name="常规 2 2 2" xfId="19"/>
    <cellStyle name="常规 2 2 2 2 3" xfId="12"/>
    <cellStyle name="常规 2 3" xfId="17"/>
    <cellStyle name="常规 3" xfId="4"/>
    <cellStyle name="常规 3 2" xfId="5"/>
    <cellStyle name="常规 4" xfId="6"/>
    <cellStyle name="常规 4 2 2" xfId="22"/>
    <cellStyle name="常规 5" xfId="7"/>
    <cellStyle name="常规 6" xfId="8"/>
    <cellStyle name="常规 6 2" xfId="10"/>
    <cellStyle name="常规 6 2 2" xfId="13"/>
    <cellStyle name="常规 7" xfId="9"/>
    <cellStyle name="常规 8" xfId="15"/>
    <cellStyle name="常规 8 2" xfId="23"/>
    <cellStyle name="常规 9" xfId="14"/>
    <cellStyle name="常规 9 2" xfId="24"/>
    <cellStyle name="超链接 2" xfId="25"/>
    <cellStyle name="强调文字颜色 2 2 2_Sheet1_2_Sheet1_1" xfId="26"/>
    <cellStyle name="强调文字颜色 5 2 2" xfId="27"/>
    <cellStyle name="强调文字颜色 6 2 2" xfId="28"/>
    <cellStyle name="输入 2 2_Sheet1_5" xfId="2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9-1-0288&#21271;&#20140;&#24066;&#24576;&#26580;&#21306;&#27827;&#38450;&#21475;&#26449;&#21335;&#65288;&#20852;&#21457;&#27700;&#27877;&#21378;&#65289;/&#27979;&#31639;&#8212;&#8212;&#27719;&#24635;-&#24120;&#30021;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07;&#31243;/&#30005;&#31639;&#34920;-&#20572;&#36710;&#2233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停车场2.5)"/>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基准地价（停车场2.5)"/>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B19"/>
        </row>
        <row r="20">
          <cell r="B20">
            <v>2</v>
          </cell>
        </row>
        <row r="27">
          <cell r="B27">
            <v>160</v>
          </cell>
        </row>
        <row r="28">
          <cell r="B28">
            <v>200</v>
          </cell>
        </row>
        <row r="30">
          <cell r="B30">
            <v>200</v>
          </cell>
        </row>
        <row r="33">
          <cell r="B33">
            <v>0.03</v>
          </cell>
        </row>
        <row r="34">
          <cell r="B34">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房山区青龙湖镇坨里村出让国有建设用地使用权市场价格预评估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受贵公司委托，我公司对房山区青龙湖镇坨里村出让国有建设用地使用权市场价格进行了预评估。</v>
      </c>
      <c r="AM6" s="2857"/>
    </row>
    <row r="7" spans="1:55" s="2831" customFormat="1">
      <c r="A7" s="2832" t="s">
        <v>2654</v>
      </c>
      <c r="B7" s="2833" t="str">
        <f>'预评函-1'!A6</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本次评估为委托估价方了解标的物之市场价格提供参考依据而评估出让国有建设用地使用权市场价格。</v>
      </c>
    </row>
    <row r="10" spans="1:55" s="2831" customFormat="1">
      <c r="A10" s="2832" t="s">
        <v>2656</v>
      </c>
      <c r="B10" s="2833" t="str">
        <f>'预评函-1'!A11</f>
        <v>2019年8月23日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根据《国有土地使用证》[]，估价对象（分摊）出让国有建设用地使用权面积为40700平方米。根据《建设工程规划许可证》[]、《出让合同》[]，估价对象规划建筑面积为4100平方米。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1" customFormat="1">
      <c r="A19" s="2832" t="s">
        <v>2669</v>
      </c>
      <c r="B19" s="2833" t="str">
        <f>'预评函-1'!A26</f>
        <v>——</v>
      </c>
    </row>
    <row r="20" spans="1:48" s="2831" customFormat="1">
      <c r="A20" s="2832" t="s">
        <v>2670</v>
      </c>
      <c r="B20" s="2833" t="str">
        <f>'预评函-1'!A27</f>
        <v>——</v>
      </c>
    </row>
    <row r="21" spans="1:48" s="2847" customFormat="1" ht="15" thickBot="1">
      <c r="A21" s="2854" t="s">
        <v>2671</v>
      </c>
      <c r="B21" s="2855" t="str">
        <f>'预评函-1'!A28</f>
        <v>——</v>
      </c>
    </row>
    <row r="22" spans="1:48" ht="15" thickTop="1">
      <c r="A22" s="2843" t="s">
        <v>2672</v>
      </c>
      <c r="B22" s="28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估价期日：2019年8月23日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40700</v>
      </c>
    </row>
    <row r="44" spans="1:2">
      <c r="A44" s="2832" t="s">
        <v>2737</v>
      </c>
      <c r="B44" s="2833" t="str">
        <f>'预评函-2'!O3</f>
        <v>规划建筑面积/㎡</v>
      </c>
    </row>
    <row r="45" spans="1:2">
      <c r="A45" s="2832" t="s">
        <v>2719</v>
      </c>
      <c r="B45" s="2833">
        <f>'预评函-2'!O5</f>
        <v>4100</v>
      </c>
    </row>
    <row r="46" spans="1:2">
      <c r="A46" s="2832" t="s">
        <v>2720</v>
      </c>
      <c r="B46" s="2833">
        <f ca="1">'预评函-2'!P5</f>
        <v>512</v>
      </c>
    </row>
    <row r="47" spans="1:2">
      <c r="A47" s="2832" t="s">
        <v>2721</v>
      </c>
      <c r="B47" s="2833">
        <f ca="1">'预评函-2'!Q5</f>
        <v>5080</v>
      </c>
    </row>
    <row r="48" spans="1:2">
      <c r="A48" s="2832" t="s">
        <v>2722</v>
      </c>
      <c r="B48" s="2833">
        <f ca="1">'预评函-2'!R5</f>
        <v>2083</v>
      </c>
    </row>
    <row r="49" spans="1:2">
      <c r="A49" s="2832" t="s">
        <v>2738</v>
      </c>
      <c r="B49" s="2833" t="str">
        <f>'预评函-2'!A6</f>
        <v>——</v>
      </c>
    </row>
    <row r="50" spans="1:2">
      <c r="A50" s="2832" t="s">
        <v>2723</v>
      </c>
      <c r="B50" s="2833" t="str">
        <f>'预评函-2'!R6</f>
        <v>——</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2.本次评估设定估价对象宗地权属无争议，未被查封或者以其他形式限制其房地产权利，未设定抵押权等他项权利，不涉及第三方权利义务。</v>
      </c>
    </row>
    <row r="60" spans="1:2">
      <c r="A60" s="2832" t="s">
        <v>2679</v>
      </c>
      <c r="B60" s="2833" t="str">
        <f>'预评函-3'!A9</f>
        <v>——</v>
      </c>
    </row>
    <row r="61" spans="1:2">
      <c r="A61" s="2832" t="s">
        <v>2681</v>
      </c>
      <c r="B61" s="2833" t="str">
        <f>'预评函-3'!A10</f>
        <v>——</v>
      </c>
    </row>
    <row r="62" spans="1:2">
      <c r="A62" s="2832" t="s">
        <v>2680</v>
      </c>
      <c r="B62" s="2833" t="str">
        <f>'预评函-3'!A11</f>
        <v>——</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v>
      </c>
    </row>
    <row r="66" spans="1:2">
      <c r="A66" s="2832" t="s">
        <v>2685</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1934</v>
      </c>
      <c r="B1" s="3283" t="str">
        <f>IF(B10="北京市","北京市",C10)&amp;F10&amp;B16&amp;"国有建设用地使用权"&amp;B9&amp;"预评估"</f>
        <v>房山区青龙湖镇坨里村出让国有建设用地使用权市场价格预评估</v>
      </c>
      <c r="C1" s="3284"/>
      <c r="D1" s="3284"/>
      <c r="E1" s="3284"/>
      <c r="F1" s="3284"/>
      <c r="G1" s="3284"/>
      <c r="H1" s="3284"/>
      <c r="I1" s="3285"/>
      <c r="J1" s="1677"/>
      <c r="K1" s="2418" t="str">
        <f>IF(B10="北京市","北京市",C10)&amp;F10&amp;B16&amp;"国有建设用地使用权"&amp;B9</f>
        <v>房山区青龙湖镇坨里村出让国有建设用地使用权市场价格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房山区青龙湖镇坨里村出让国有建设用地使用权</v>
      </c>
      <c r="L2" s="1706"/>
      <c r="M2" s="1706"/>
      <c r="N2" s="1677"/>
      <c r="O2" s="1678"/>
      <c r="P2" s="1677"/>
      <c r="Q2" s="1677"/>
      <c r="R2" s="1677"/>
      <c r="S2" s="1677"/>
      <c r="T2" s="1677"/>
      <c r="U2" s="1677"/>
    </row>
    <row r="3" spans="1:21">
      <c r="A3" s="1644" t="s">
        <v>1936</v>
      </c>
      <c r="B3" s="1645"/>
      <c r="C3" s="1646" t="s">
        <v>1992</v>
      </c>
      <c r="D3" s="1645">
        <v>43700</v>
      </c>
      <c r="E3" s="1677"/>
      <c r="F3" s="1677"/>
      <c r="G3" s="1677"/>
      <c r="H3" s="1643"/>
      <c r="I3" s="1678"/>
      <c r="J3" s="1677"/>
      <c r="K3" s="1757"/>
      <c r="L3" s="1706"/>
      <c r="M3" s="1706"/>
      <c r="N3" s="1677"/>
      <c r="O3" s="1678"/>
      <c r="P3" s="1677"/>
      <c r="Q3" s="1677"/>
      <c r="R3" s="1677"/>
      <c r="S3" s="1677"/>
      <c r="T3" s="1677"/>
      <c r="U3" s="1677"/>
    </row>
    <row r="4" spans="1:21" ht="29.25" thickBot="1">
      <c r="A4" s="1647" t="s">
        <v>1937</v>
      </c>
      <c r="B4" s="1826" t="s">
        <v>2885</v>
      </c>
      <c r="C4" s="1829">
        <f>SUMIF(土地估价师,B4,估价师及机构信息!E3:E24)</f>
        <v>0</v>
      </c>
      <c r="D4" s="1826" t="s">
        <v>2885</v>
      </c>
      <c r="E4" s="1829">
        <f>SUMIF(土地估价师,D4,估价师及机构信息!E3:E24)</f>
        <v>0</v>
      </c>
      <c r="F4" s="1826" t="s">
        <v>949</v>
      </c>
      <c r="G4" s="1829">
        <f>SUMIF(土地估价师,F4,估价师及机构信息!E3:E24)</f>
        <v>0</v>
      </c>
      <c r="H4" s="1826" t="s">
        <v>949</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2986</v>
      </c>
      <c r="C8" s="1654"/>
      <c r="D8" s="3289" t="s">
        <v>1941</v>
      </c>
      <c r="E8" s="1827"/>
      <c r="F8" s="1655"/>
      <c r="G8" s="1643"/>
      <c r="H8" s="1643"/>
      <c r="I8" s="1690"/>
      <c r="J8" s="1677"/>
      <c r="K8" s="1757"/>
      <c r="L8" s="1706"/>
      <c r="M8" s="1706"/>
      <c r="N8" s="1677"/>
      <c r="O8" s="1678"/>
      <c r="P8" s="1677"/>
      <c r="Q8" s="1677"/>
      <c r="R8" s="1677"/>
      <c r="S8" s="1677"/>
      <c r="T8" s="1677"/>
      <c r="U8" s="1677"/>
    </row>
    <row r="9" spans="1:21" ht="15" thickBot="1">
      <c r="A9" s="1656" t="s">
        <v>1940</v>
      </c>
      <c r="B9" s="1657" t="s">
        <v>3001</v>
      </c>
      <c r="C9" s="1658"/>
      <c r="D9" s="3290"/>
      <c r="E9" s="1657"/>
      <c r="F9" s="1730"/>
      <c r="G9" s="1725"/>
      <c r="H9" s="1725"/>
      <c r="I9" s="1726"/>
      <c r="J9" s="1677"/>
      <c r="K9" s="1757"/>
      <c r="L9" s="1706"/>
      <c r="M9" s="1706"/>
      <c r="N9" s="1677"/>
      <c r="O9" s="1678"/>
      <c r="P9" s="1677"/>
      <c r="Q9" s="1677"/>
      <c r="R9" s="1677"/>
      <c r="S9" s="1677"/>
      <c r="T9" s="1677"/>
      <c r="U9" s="1677"/>
    </row>
    <row r="10" spans="1:21" ht="15" thickTop="1">
      <c r="A10" s="1727" t="s">
        <v>1996</v>
      </c>
      <c r="B10" s="1702"/>
      <c r="C10" s="1659"/>
      <c r="D10" s="1650"/>
      <c r="E10" s="1660" t="s">
        <v>1943</v>
      </c>
      <c r="F10" s="1661" t="s">
        <v>3002</v>
      </c>
      <c r="G10" s="1728"/>
      <c r="H10" s="1729"/>
      <c r="I10" s="1650"/>
      <c r="J10" s="1677"/>
      <c r="K10" s="1757"/>
      <c r="L10" s="1706"/>
      <c r="M10" s="1706"/>
      <c r="N10" s="1677"/>
      <c r="O10" s="1678"/>
      <c r="P10" s="1677"/>
      <c r="Q10" s="1677"/>
      <c r="R10" s="1677"/>
      <c r="S10" s="1677"/>
      <c r="T10" s="1677"/>
      <c r="U10" s="1677"/>
    </row>
    <row r="11" spans="1:21">
      <c r="A11" s="1680" t="s">
        <v>1997</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86"/>
      <c r="C12" s="3287"/>
      <c r="D12" s="3288"/>
      <c r="E12" s="1682" t="s">
        <v>2058</v>
      </c>
      <c r="F12" s="3304" t="s">
        <v>2886</v>
      </c>
      <c r="G12" s="3305"/>
      <c r="H12" s="3305"/>
      <c r="I12" s="3306"/>
      <c r="J12" s="1677"/>
      <c r="K12" s="1757"/>
      <c r="L12" s="1706"/>
      <c r="M12" s="1706"/>
      <c r="N12" s="1677"/>
      <c r="O12" s="1678"/>
      <c r="P12" s="1677"/>
      <c r="Q12" s="1677"/>
      <c r="R12" s="1677"/>
      <c r="S12" s="1677"/>
      <c r="T12" s="1677"/>
      <c r="U12" s="1677"/>
    </row>
    <row r="13" spans="1:21">
      <c r="A13" s="1670" t="s">
        <v>2056</v>
      </c>
      <c r="B13" s="3286"/>
      <c r="C13" s="3287"/>
      <c r="D13" s="3288"/>
      <c r="E13" s="1682" t="s">
        <v>2058</v>
      </c>
      <c r="F13" s="3304" t="s">
        <v>2887</v>
      </c>
      <c r="G13" s="3305"/>
      <c r="H13" s="3305"/>
      <c r="I13" s="3306"/>
      <c r="J13" s="1677"/>
      <c r="K13" s="1757"/>
      <c r="L13" s="1706"/>
      <c r="M13" s="1706"/>
      <c r="N13" s="1677"/>
      <c r="O13" s="1678"/>
      <c r="P13" s="1677"/>
      <c r="Q13" s="1677"/>
      <c r="R13" s="1677"/>
      <c r="S13" s="1677"/>
      <c r="T13" s="1677"/>
      <c r="U13" s="1677"/>
    </row>
    <row r="14" spans="1:21">
      <c r="A14" s="1644" t="s">
        <v>2059</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28.5">
      <c r="A16" s="1663" t="s">
        <v>1944</v>
      </c>
      <c r="B16" s="1664" t="s">
        <v>2986</v>
      </c>
      <c r="C16" s="1682" t="s">
        <v>1945</v>
      </c>
      <c r="D16" s="2609" t="s">
        <v>1946</v>
      </c>
      <c r="E16" s="1705" t="s">
        <v>3083</v>
      </c>
      <c r="F16" s="1705" t="s">
        <v>1674</v>
      </c>
      <c r="G16" s="1705" t="s">
        <v>3086</v>
      </c>
      <c r="H16" s="1705"/>
      <c r="I16" s="1669" t="s">
        <v>1951</v>
      </c>
      <c r="J16" s="1677"/>
      <c r="K16" s="2419" t="str">
        <f>IF(D17="","",D16&amp;TEXT(D17,"yyyy年m月d日;;"))</f>
        <v/>
      </c>
      <c r="L16" s="1682" t="str">
        <f>IF(OR(K16="",M16=""),"","、")</f>
        <v/>
      </c>
      <c r="M16" s="2419" t="str">
        <f>IF(E17="","",E16&amp;TEXT(E17,"yyyy年m月d日;;"))</f>
        <v>商业2059年8月22日</v>
      </c>
      <c r="N16" s="1682" t="str">
        <f>IF(OR(M16="",O16=""),"","、")</f>
        <v>、</v>
      </c>
      <c r="O16" s="2419" t="str">
        <f>IF(F17="","",F16&amp;TEXT(F17,"yyyy年m月d日;;"))</f>
        <v>办公2069年8月22日</v>
      </c>
      <c r="P16" s="1682" t="str">
        <f>IF(OR(O16="",Q16=""),"","、")</f>
        <v>、</v>
      </c>
      <c r="Q16" s="2419" t="str">
        <f>IF(G17="","",G16&amp;TEXT(G17,"yyyy年m月d日;;"))</f>
        <v>车库2069年8月22日</v>
      </c>
      <c r="R16" s="1682" t="str">
        <f>IF(OR(Q16="",S16=""),"","、")</f>
        <v/>
      </c>
      <c r="S16" s="2419" t="str">
        <f>IF(H17="","",H16&amp;TEXT(H17,"yyyy年m月d日;;"))</f>
        <v/>
      </c>
      <c r="T16" s="1682" t="str">
        <f>IF(OR(S16="",U16=""),"","、")</f>
        <v/>
      </c>
      <c r="U16" s="2419" t="str">
        <f>IF(I17="","",I16&amp;TEXT(I17,"yyyy年m月d日;;"))</f>
        <v/>
      </c>
    </row>
    <row r="17" spans="1:21">
      <c r="A17" s="1746"/>
      <c r="B17" s="1665"/>
      <c r="C17" s="1666" t="s">
        <v>1952</v>
      </c>
      <c r="D17" s="1683"/>
      <c r="E17" s="1683">
        <v>58309</v>
      </c>
      <c r="F17" s="1683">
        <v>61962</v>
      </c>
      <c r="G17" s="1683">
        <f>F17</f>
        <v>61962</v>
      </c>
      <c r="H17" s="1683"/>
      <c r="I17" s="1683"/>
      <c r="J17" s="1677"/>
      <c r="K17" s="2418" t="str">
        <f>CONCATENATE(K16,L16,M16,N16,O16,P16,Q16,R16,S16,T16,,U16)</f>
        <v>商业2059年8月22日、办公2069年8月22日、车库2069年8月22日</v>
      </c>
      <c r="L17" s="1706"/>
      <c r="M17" s="1706"/>
      <c r="N17" s="1677"/>
      <c r="O17" s="1678"/>
      <c r="P17" s="1677"/>
      <c r="Q17" s="1677"/>
      <c r="R17" s="1677"/>
      <c r="S17" s="1677"/>
      <c r="T17" s="1677"/>
      <c r="U17" s="1677"/>
    </row>
    <row r="18" spans="1:21">
      <c r="A18" s="1746"/>
      <c r="B18" s="1665"/>
      <c r="C18" s="1666" t="s">
        <v>1953</v>
      </c>
      <c r="D18" s="1667"/>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1954</v>
      </c>
      <c r="D19" s="1741" t="str">
        <f>IF(B16="出让",IF(D17="","",ROUNDDOWN(MIN((D17-$D$3)/365,D18),2)),D18)</f>
        <v/>
      </c>
      <c r="E19" s="1668">
        <f>IF(B16="出让",IF(E17="","",ROUNDDOWN(MIN((E17-$D$3)/365,E18),2)),E18)</f>
        <v>40</v>
      </c>
      <c r="F19" s="1668">
        <f>IF(B16="出让",IF(F17="","",ROUNDDOWN(MIN((F17-$D$3)/365,F18),2)),F18)</f>
        <v>50</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301"/>
      <c r="E20" s="3302"/>
      <c r="F20" s="3302"/>
      <c r="G20" s="3302"/>
      <c r="H20" s="3302"/>
      <c r="I20" s="3303"/>
      <c r="J20" s="1677"/>
      <c r="K20" s="1757"/>
      <c r="L20" s="1706"/>
      <c r="M20" s="1706"/>
      <c r="N20" s="1677"/>
      <c r="O20" s="1678"/>
      <c r="P20" s="1677"/>
      <c r="Q20" s="1677"/>
      <c r="R20" s="1677"/>
      <c r="S20" s="1677"/>
      <c r="T20" s="1677"/>
      <c r="U20" s="1677"/>
    </row>
    <row r="21" spans="1:21">
      <c r="A21" s="1746" t="s">
        <v>1955</v>
      </c>
      <c r="B21" s="1747" t="s">
        <v>1956</v>
      </c>
      <c r="C21" s="1742">
        <f>'数据-汇总表'!E3</f>
        <v>4100</v>
      </c>
      <c r="D21" s="1743" t="s">
        <v>1957</v>
      </c>
      <c r="E21" s="3291" t="s">
        <v>1995</v>
      </c>
      <c r="F21" s="3292"/>
      <c r="G21" s="3292"/>
      <c r="H21" s="3292"/>
      <c r="I21" s="3293"/>
      <c r="J21" s="1677"/>
      <c r="K21" s="1757"/>
      <c r="L21" s="1706"/>
      <c r="M21" s="1706"/>
      <c r="N21" s="1677"/>
      <c r="O21" s="1678"/>
      <c r="P21" s="1677"/>
      <c r="Q21" s="1677"/>
      <c r="R21" s="1677"/>
      <c r="S21" s="1677"/>
      <c r="T21" s="1677"/>
      <c r="U21" s="1677"/>
    </row>
    <row r="22" spans="1:21">
      <c r="A22" s="3096" t="s">
        <v>949</v>
      </c>
      <c r="B22" s="1644" t="s">
        <v>1958</v>
      </c>
      <c r="C22" s="1669">
        <f>'数据-汇总表'!D3</f>
        <v>40700</v>
      </c>
      <c r="D22" s="1670" t="s">
        <v>1957</v>
      </c>
      <c r="E22" s="3291" t="s">
        <v>2888</v>
      </c>
      <c r="F22" s="3292"/>
      <c r="G22" s="3292"/>
      <c r="H22" s="3292"/>
      <c r="I22" s="3293"/>
      <c r="J22" s="1677"/>
      <c r="K22" s="1757"/>
      <c r="L22" s="1706"/>
      <c r="M22" s="1706"/>
      <c r="N22" s="1677"/>
      <c r="O22" s="1678"/>
      <c r="P22" s="1677"/>
      <c r="Q22" s="1677"/>
      <c r="R22" s="1677"/>
      <c r="S22" s="1677"/>
      <c r="T22" s="1677"/>
      <c r="U22" s="1677"/>
    </row>
    <row r="23" spans="1:21" ht="43.5"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94" t="s">
        <v>1963</v>
      </c>
      <c r="C24" s="3295"/>
      <c r="D24" s="3296" t="s">
        <v>1964</v>
      </c>
      <c r="E24" s="3297"/>
      <c r="F24" s="1691" t="s">
        <v>1965</v>
      </c>
      <c r="G24" s="1677"/>
      <c r="H24" s="1677"/>
      <c r="I24" s="1690"/>
      <c r="J24" s="1677"/>
      <c r="K24" s="3282"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1967</v>
      </c>
      <c r="D25" s="1693"/>
      <c r="E25" s="1694" t="s">
        <v>949</v>
      </c>
      <c r="F25" s="1695"/>
      <c r="G25" s="1677"/>
      <c r="H25" s="1677"/>
      <c r="I25" s="1690"/>
      <c r="J25" s="1677"/>
      <c r="K25" s="328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1968</v>
      </c>
      <c r="C26" s="1692" t="s">
        <v>2323</v>
      </c>
      <c r="D26" s="1643"/>
      <c r="E26" s="1643"/>
      <c r="F26" s="1671"/>
      <c r="G26" s="1677"/>
      <c r="H26" s="1677"/>
      <c r="I26" s="1690"/>
      <c r="J26" s="1677"/>
      <c r="K26" s="328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309" t="s">
        <v>1998</v>
      </c>
      <c r="B31" s="1747" t="s">
        <v>1999</v>
      </c>
      <c r="C31" s="3307"/>
      <c r="D31" s="3308"/>
      <c r="E31" s="1677"/>
      <c r="F31" s="1677"/>
      <c r="G31" s="1677"/>
      <c r="H31" s="1677"/>
      <c r="I31" s="1690"/>
      <c r="J31" s="1677"/>
      <c r="K31" s="2421"/>
      <c r="L31" s="1677"/>
      <c r="M31" s="1677"/>
      <c r="N31" s="1677"/>
      <c r="O31" s="1677"/>
      <c r="P31" s="1677"/>
      <c r="Q31" s="1677"/>
      <c r="R31" s="1677"/>
      <c r="S31" s="1677"/>
      <c r="T31" s="1677"/>
      <c r="U31" s="1677"/>
    </row>
    <row r="32" spans="1:21">
      <c r="A32" s="3309"/>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309"/>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310"/>
      <c r="B34" s="1644" t="s">
        <v>2002</v>
      </c>
      <c r="C34" s="3311"/>
      <c r="D34" s="3312"/>
      <c r="E34" s="1677"/>
      <c r="F34" s="1677"/>
      <c r="G34" s="1677"/>
      <c r="H34" s="1677"/>
      <c r="I34" s="1690"/>
      <c r="J34" s="1677"/>
      <c r="K34" s="2421"/>
      <c r="L34" s="1677"/>
      <c r="M34" s="1677"/>
      <c r="N34" s="1677"/>
      <c r="O34" s="1677"/>
      <c r="P34" s="1677"/>
      <c r="Q34" s="1677"/>
      <c r="R34" s="1677"/>
      <c r="S34" s="1677"/>
      <c r="T34" s="1677"/>
      <c r="U34" s="1677"/>
    </row>
    <row r="35" spans="1:21">
      <c r="A35" s="3313" t="s">
        <v>844</v>
      </c>
      <c r="B35" s="1705"/>
      <c r="C35" s="1759" t="str">
        <f>IF(B35="场地平整","——","具体情况：")</f>
        <v>具体情况：</v>
      </c>
      <c r="D35" s="3315"/>
      <c r="E35" s="3316"/>
      <c r="F35" s="3316"/>
      <c r="G35" s="3316"/>
      <c r="H35" s="3316"/>
      <c r="I35" s="3317"/>
      <c r="J35" s="1677"/>
      <c r="K35" s="1758"/>
      <c r="L35" s="1706"/>
      <c r="M35" s="1706"/>
      <c r="N35" s="1677"/>
      <c r="O35" s="1678"/>
      <c r="P35" s="1677"/>
      <c r="Q35" s="1677"/>
      <c r="R35" s="1677"/>
      <c r="S35" s="1677"/>
      <c r="T35" s="1677"/>
      <c r="U35" s="1677"/>
    </row>
    <row r="36" spans="1:21">
      <c r="A36" s="3309"/>
      <c r="B36" s="3318" t="s">
        <v>2051</v>
      </c>
      <c r="C36" s="3319"/>
      <c r="D36" s="1775"/>
      <c r="E36" s="3320"/>
      <c r="F36" s="3320"/>
      <c r="G36" s="1670" t="str">
        <f>IF(B35="场地未平整","估价结果处理","")</f>
        <v/>
      </c>
      <c r="H36" s="3321"/>
      <c r="I36" s="3321"/>
      <c r="J36" s="1677"/>
      <c r="K36" s="1758"/>
      <c r="L36" s="1706"/>
      <c r="M36" s="1706"/>
      <c r="N36" s="1677"/>
      <c r="O36" s="1678"/>
      <c r="P36" s="1677"/>
      <c r="Q36" s="1677"/>
      <c r="R36" s="1677"/>
      <c r="S36" s="1677"/>
      <c r="T36" s="1677"/>
      <c r="U36" s="1677"/>
    </row>
    <row r="37" spans="1:21" ht="28.5">
      <c r="A37" s="3309"/>
      <c r="B37" s="3298" t="s">
        <v>845</v>
      </c>
      <c r="C37" s="1707" t="s">
        <v>846</v>
      </c>
      <c r="D37" s="1708"/>
      <c r="E37" s="1709"/>
      <c r="F37" s="1677"/>
      <c r="G37" s="1677"/>
      <c r="H37" s="1677"/>
      <c r="I37" s="1690"/>
      <c r="J37" s="1677"/>
      <c r="K37" s="1758"/>
      <c r="L37" s="1677"/>
      <c r="M37" s="1677"/>
      <c r="N37" s="1677"/>
      <c r="O37" s="1677"/>
      <c r="P37" s="1677"/>
      <c r="Q37" s="1677"/>
      <c r="R37" s="1677"/>
      <c r="S37" s="1677"/>
      <c r="T37" s="1677"/>
      <c r="U37" s="1677"/>
    </row>
    <row r="38" spans="1:21">
      <c r="A38" s="3309"/>
      <c r="B38" s="3299"/>
      <c r="C38" s="1652" t="s">
        <v>847</v>
      </c>
      <c r="D38" s="1774">
        <f>ROUNDDOWN(MIN(('数据-取费表'!$B$2-D37)/365,D34),1)</f>
        <v>119.7</v>
      </c>
      <c r="E38" s="1710" t="s">
        <v>848</v>
      </c>
      <c r="F38" s="1677"/>
      <c r="G38" s="1677"/>
      <c r="H38" s="1677"/>
      <c r="I38" s="1690"/>
      <c r="J38" s="1677"/>
      <c r="K38" s="1758"/>
      <c r="L38" s="1677"/>
      <c r="M38" s="1677"/>
      <c r="N38" s="1677"/>
      <c r="O38" s="1677"/>
      <c r="P38" s="1677"/>
      <c r="Q38" s="1677"/>
      <c r="R38" s="1677"/>
      <c r="S38" s="1677"/>
      <c r="T38" s="1677"/>
      <c r="U38" s="1677"/>
    </row>
    <row r="39" spans="1:21">
      <c r="A39" s="3310"/>
      <c r="B39" s="330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81" t="s">
        <v>1982</v>
      </c>
      <c r="T40" s="1714" t="str">
        <f>NUMBERSTRING(7-K40,1)&amp;"通"</f>
        <v>七通</v>
      </c>
      <c r="U40" s="1677"/>
    </row>
    <row r="41" spans="1:21">
      <c r="A41" s="1646"/>
      <c r="B41" s="3314" t="s">
        <v>1718</v>
      </c>
      <c r="C41" s="3314"/>
      <c r="D41" s="3314"/>
      <c r="E41" s="3314"/>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81"/>
      <c r="T41" s="1716" t="str">
        <f>IF(T40="一通",L41,IF(T40="二通",M41,IF(T40="三通",N41,IF(T40="四通",O41,IF(T40="五通",P41,IF(T40="六通",Q41,R41))))))</f>
        <v>、、、、、、</v>
      </c>
      <c r="U41" s="1677"/>
    </row>
    <row r="42" spans="1:21">
      <c r="A42" s="1718"/>
      <c r="B42" s="1749" t="s">
        <v>1894</v>
      </c>
      <c r="C42" s="1749" t="s">
        <v>1895</v>
      </c>
      <c r="D42" s="1749" t="s">
        <v>1896</v>
      </c>
      <c r="E42" s="1682" t="s">
        <v>1897</v>
      </c>
      <c r="F42" s="1719"/>
      <c r="G42" s="1677"/>
      <c r="H42" s="1677"/>
      <c r="I42" s="1690"/>
      <c r="J42" s="1677"/>
      <c r="K42" s="1757"/>
      <c r="L42" s="1706"/>
      <c r="M42" s="1706"/>
      <c r="N42" s="1677"/>
      <c r="O42" s="1678"/>
      <c r="P42" s="1677"/>
      <c r="Q42" s="1677"/>
      <c r="R42" s="1677"/>
      <c r="S42" s="1677"/>
      <c r="T42" s="1677"/>
      <c r="U42" s="1677"/>
    </row>
    <row r="43" spans="1:21">
      <c r="A43" s="1720" t="s">
        <v>1703</v>
      </c>
      <c r="B43" s="1721" t="s">
        <v>1416</v>
      </c>
      <c r="C43" s="1721" t="s">
        <v>1416</v>
      </c>
      <c r="D43" s="1721"/>
      <c r="E43" s="1721"/>
      <c r="F43" s="1722"/>
      <c r="G43" s="1677"/>
      <c r="H43" s="1677"/>
      <c r="I43" s="1690"/>
      <c r="J43" s="1677"/>
      <c r="K43" s="1757"/>
      <c r="L43" s="1706"/>
      <c r="M43" s="1706"/>
      <c r="N43" s="1677"/>
      <c r="O43" s="1678"/>
      <c r="P43" s="1677"/>
      <c r="Q43" s="1677"/>
      <c r="R43" s="1677"/>
      <c r="S43" s="1677"/>
      <c r="T43" s="1677"/>
      <c r="U43" s="1677"/>
    </row>
    <row r="44" spans="1:21">
      <c r="A44" s="1720" t="s">
        <v>1704</v>
      </c>
      <c r="B44" s="1721" t="s">
        <v>1117</v>
      </c>
      <c r="C44" s="1721" t="s">
        <v>1117</v>
      </c>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164</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40700</v>
      </c>
      <c r="B3" s="22">
        <f>IF(C3="否",G5-AT5,G5)</f>
        <v>4100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165</v>
      </c>
      <c r="B5" s="988"/>
      <c r="C5" s="988"/>
      <c r="D5" s="995"/>
      <c r="E5" s="27" t="s">
        <v>1</v>
      </c>
      <c r="F5" s="27">
        <f>SUM(F13:F572)</f>
        <v>0</v>
      </c>
      <c r="G5" s="27">
        <f>SUM(G13:G572)</f>
        <v>4100</v>
      </c>
      <c r="H5" s="27">
        <f t="shared" ref="H5:AT5" si="0">SUM(H13:H641)</f>
        <v>4100</v>
      </c>
      <c r="I5" s="27">
        <f t="shared" si="0"/>
        <v>0</v>
      </c>
      <c r="J5" s="27">
        <f t="shared" si="0"/>
        <v>0</v>
      </c>
      <c r="K5" s="27">
        <f t="shared" si="0"/>
        <v>0</v>
      </c>
      <c r="L5" s="27">
        <f t="shared" si="0"/>
        <v>0</v>
      </c>
      <c r="M5" s="27">
        <f t="shared" si="0"/>
        <v>4100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165</v>
      </c>
      <c r="AW5" s="988"/>
      <c r="AX5" s="988"/>
      <c r="AY5" s="28" t="s">
        <v>3</v>
      </c>
      <c r="AZ5" s="29">
        <f t="shared" ref="AZ5:BT5" si="1">SUM(AZ13:AZ641)</f>
        <v>4100</v>
      </c>
      <c r="BA5" s="29">
        <f t="shared" si="1"/>
        <v>4100</v>
      </c>
      <c r="BB5" s="29">
        <f t="shared" si="1"/>
        <v>0</v>
      </c>
      <c r="BC5" s="29">
        <f t="shared" si="1"/>
        <v>0</v>
      </c>
      <c r="BD5" s="29">
        <f t="shared" si="1"/>
        <v>4100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40700</v>
      </c>
      <c r="F6" s="27" t="s">
        <v>1</v>
      </c>
      <c r="G6" s="27" t="s">
        <v>2</v>
      </c>
      <c r="H6" s="33">
        <f>SUMIF(I$12:AB$12,"总值",I6:AB6)</f>
        <v>40700</v>
      </c>
      <c r="I6" s="27">
        <f t="shared" ref="I6:AB6" si="2">ROUND($A$3*I5/$B$3,2)</f>
        <v>0</v>
      </c>
      <c r="J6" s="27">
        <f t="shared" si="2"/>
        <v>0</v>
      </c>
      <c r="K6" s="27">
        <f t="shared" si="2"/>
        <v>0</v>
      </c>
      <c r="L6" s="27">
        <f t="shared" si="2"/>
        <v>0</v>
      </c>
      <c r="M6" s="27">
        <f t="shared" si="2"/>
        <v>40700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40700</v>
      </c>
      <c r="AZ6" s="27" t="s">
        <v>3</v>
      </c>
      <c r="BA6" s="27">
        <f>ROUND($AY$6*BA5/$AZ$5,2)</f>
        <v>40700</v>
      </c>
      <c r="BB6" s="27">
        <f>ROUND($AY$6*BB5/$AZ$5,2)</f>
        <v>0</v>
      </c>
      <c r="BC6" s="27">
        <f t="shared" ref="BC6:BH6" si="4">ROUND($AY$6*BC5/$AZ$5,2)</f>
        <v>0</v>
      </c>
      <c r="BD6" s="27">
        <f t="shared" si="4"/>
        <v>40700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174</v>
      </c>
      <c r="AV7" s="41" t="s">
        <v>175</v>
      </c>
      <c r="AW7" s="42" t="s">
        <v>176</v>
      </c>
      <c r="AX7" s="41" t="s">
        <v>177</v>
      </c>
      <c r="AY7" s="988"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0"/>
      <c r="K8" s="1000"/>
      <c r="L8" s="1000"/>
      <c r="M8" s="1000"/>
      <c r="N8" s="1000"/>
      <c r="O8" s="1000"/>
      <c r="P8" s="1000"/>
      <c r="Q8" s="1000"/>
      <c r="R8" s="1000"/>
      <c r="S8" s="1000"/>
      <c r="T8" s="1000"/>
      <c r="U8" s="1000"/>
      <c r="V8" s="49"/>
      <c r="W8" s="1000"/>
      <c r="X8" s="1000"/>
      <c r="Y8" s="1000"/>
      <c r="Z8" s="1000"/>
      <c r="AA8" s="49"/>
      <c r="AB8" s="50"/>
      <c r="AC8" s="51" t="s">
        <v>181</v>
      </c>
      <c r="AD8" s="52"/>
      <c r="AE8" s="43"/>
      <c r="AF8" s="1000"/>
      <c r="AG8" s="1000"/>
      <c r="AH8" s="1000"/>
      <c r="AI8" s="1000"/>
      <c r="AJ8" s="1000"/>
      <c r="AK8" s="1000"/>
      <c r="AL8" s="1000"/>
      <c r="AM8" s="1000"/>
      <c r="AN8" s="1000"/>
      <c r="AO8" s="1000"/>
      <c r="AP8" s="1000"/>
      <c r="AQ8" s="1000"/>
      <c r="AR8" s="1000"/>
      <c r="AS8" s="2281"/>
      <c r="AT8" s="2312" t="s">
        <v>852</v>
      </c>
      <c r="AU8" s="45" t="s">
        <v>182</v>
      </c>
      <c r="AV8" s="55"/>
      <c r="AW8" s="1002"/>
      <c r="AX8" s="55"/>
      <c r="AY8" s="42" t="s">
        <v>183</v>
      </c>
      <c r="AZ8" s="999" t="s">
        <v>184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185</v>
      </c>
      <c r="I9" s="2970" t="s">
        <v>3012</v>
      </c>
      <c r="J9" s="51"/>
      <c r="K9" s="2970" t="s">
        <v>3012</v>
      </c>
      <c r="L9" s="51"/>
      <c r="M9" s="2970" t="s">
        <v>3012</v>
      </c>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2" t="s">
        <v>188</v>
      </c>
      <c r="AQ9" s="1184"/>
      <c r="AR9" s="1182" t="s">
        <v>189</v>
      </c>
      <c r="AS9" s="2313"/>
      <c r="AT9" s="45"/>
      <c r="AU9" s="45" t="s">
        <v>191</v>
      </c>
      <c r="AV9" s="55"/>
      <c r="AW9" s="1002"/>
      <c r="AX9" s="55"/>
      <c r="AY9" s="62"/>
      <c r="AZ9" s="62" t="s">
        <v>192</v>
      </c>
      <c r="BA9" s="63" t="s">
        <v>193</v>
      </c>
      <c r="BB9" s="64"/>
      <c r="BC9" s="994"/>
      <c r="BD9" s="994"/>
      <c r="BE9" s="994"/>
      <c r="BF9" s="994"/>
      <c r="BG9" s="994"/>
      <c r="BH9" s="994"/>
      <c r="BI9" s="994"/>
      <c r="BJ9" s="994"/>
      <c r="BK9" s="65"/>
      <c r="BL9" s="26" t="s">
        <v>194</v>
      </c>
      <c r="BM9" s="1000"/>
      <c r="BN9" s="48"/>
      <c r="BO9" s="1000"/>
      <c r="BP9" s="1000"/>
      <c r="BQ9" s="1000"/>
      <c r="BR9" s="1000"/>
      <c r="BS9" s="1000"/>
      <c r="BT9" s="56"/>
    </row>
    <row r="10" spans="1:72" s="57" customFormat="1" ht="12.75">
      <c r="A10" s="45"/>
      <c r="B10" s="45"/>
      <c r="C10" s="45"/>
      <c r="D10" s="45"/>
      <c r="E10" s="45"/>
      <c r="F10" s="45"/>
      <c r="G10" s="55"/>
      <c r="H10" s="62"/>
      <c r="I10" s="2970" t="s">
        <v>1674</v>
      </c>
      <c r="J10" s="51"/>
      <c r="K10" s="2972" t="s">
        <v>3083</v>
      </c>
      <c r="L10" s="51"/>
      <c r="M10" s="2972" t="s">
        <v>3086</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195</v>
      </c>
      <c r="AO10" s="61"/>
      <c r="AP10" s="1182" t="s">
        <v>196</v>
      </c>
      <c r="AQ10" s="1184"/>
      <c r="AR10" s="1182" t="s">
        <v>196</v>
      </c>
      <c r="AS10" s="1184"/>
      <c r="AT10" s="45"/>
      <c r="AU10" s="45"/>
      <c r="AV10" s="55"/>
      <c r="AW10" s="1002"/>
      <c r="AX10" s="55"/>
      <c r="AY10" s="62"/>
      <c r="AZ10" s="62"/>
      <c r="BA10" s="67" t="s">
        <v>190</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2995</v>
      </c>
      <c r="J11" s="71"/>
      <c r="K11" s="2971" t="s">
        <v>2997</v>
      </c>
      <c r="L11" s="71"/>
      <c r="M11" s="70" t="s">
        <v>2999</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办公</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7" t="s">
        <v>198</v>
      </c>
      <c r="W12" s="17" t="s">
        <v>197</v>
      </c>
      <c r="X12" s="17" t="s">
        <v>198</v>
      </c>
      <c r="Y12" s="17" t="s">
        <v>197</v>
      </c>
      <c r="Z12" s="17" t="s">
        <v>198</v>
      </c>
      <c r="AA12" s="17" t="s">
        <v>197</v>
      </c>
      <c r="AB12" s="17" t="s">
        <v>198</v>
      </c>
      <c r="AC12" s="75"/>
      <c r="AD12" s="995" t="s">
        <v>197</v>
      </c>
      <c r="AE12" s="17" t="s">
        <v>198</v>
      </c>
      <c r="AF12" s="17" t="s">
        <v>197</v>
      </c>
      <c r="AG12" s="17" t="s">
        <v>198</v>
      </c>
      <c r="AH12" s="17" t="s">
        <v>197</v>
      </c>
      <c r="AI12" s="17" t="s">
        <v>198</v>
      </c>
      <c r="AJ12" s="17" t="s">
        <v>197</v>
      </c>
      <c r="AK12" s="17" t="s">
        <v>198</v>
      </c>
      <c r="AL12" s="17" t="s">
        <v>197</v>
      </c>
      <c r="AM12" s="17" t="s">
        <v>198</v>
      </c>
      <c r="AN12" s="17" t="s">
        <v>197</v>
      </c>
      <c r="AO12" s="17" t="s">
        <v>198</v>
      </c>
      <c r="AP12" s="1181" t="s">
        <v>197</v>
      </c>
      <c r="AQ12" s="1181" t="s">
        <v>198</v>
      </c>
      <c r="AR12" s="1187" t="s">
        <v>197</v>
      </c>
      <c r="AS12" s="1186" t="s">
        <v>198</v>
      </c>
      <c r="AT12" s="76"/>
      <c r="AU12" s="72"/>
      <c r="AV12" s="77"/>
      <c r="AW12" s="42"/>
      <c r="AX12" s="77"/>
      <c r="AY12" s="78"/>
      <c r="AZ12" s="62"/>
      <c r="BA12" s="67"/>
      <c r="BB12" s="53" t="str">
        <f>I11</f>
        <v>娱乐</v>
      </c>
      <c r="BC12" s="79" t="str">
        <f>K11</f>
        <v>旅馆</v>
      </c>
      <c r="BD12" s="79" t="str">
        <f>M11</f>
        <v>停车场</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2965" t="s">
        <v>3003</v>
      </c>
      <c r="B13" s="2965"/>
      <c r="C13" s="2965" t="s">
        <v>3008</v>
      </c>
      <c r="D13" s="2966" t="s">
        <v>3013</v>
      </c>
      <c r="E13" s="27">
        <f t="shared" ref="E13:E20" si="6">IF($C$3="是",ROUND($A$3*G13/$B$3,2),ROUND($A$3*(G13-AT13)/$B$3,2))</f>
        <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FS16-0102-0069</v>
      </c>
      <c r="AW13" s="17">
        <f t="shared" si="10"/>
        <v>0</v>
      </c>
      <c r="AX13" s="17" t="str">
        <f t="shared" si="10"/>
        <v>娱乐</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5" t="s">
        <v>3004</v>
      </c>
      <c r="B14" s="2965"/>
      <c r="C14" s="2967" t="s">
        <v>3009</v>
      </c>
      <c r="D14" s="2966" t="s">
        <v>3013</v>
      </c>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t="str">
        <f t="shared" si="10"/>
        <v>FS16-0102-0070</v>
      </c>
      <c r="AW14" s="17">
        <f t="shared" si="10"/>
        <v>0</v>
      </c>
      <c r="AX14" s="17" t="str">
        <f t="shared" si="10"/>
        <v>旅馆</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5" t="s">
        <v>3005</v>
      </c>
      <c r="B15" s="2965"/>
      <c r="C15" s="2967" t="s">
        <v>3010</v>
      </c>
      <c r="D15" s="2966" t="s">
        <v>1675</v>
      </c>
      <c r="E15" s="27">
        <f t="shared" si="6"/>
        <v>40700</v>
      </c>
      <c r="F15" s="81"/>
      <c r="G15" s="82">
        <f t="shared" si="7"/>
        <v>4100</v>
      </c>
      <c r="H15" s="33">
        <f t="shared" si="8"/>
        <v>4100</v>
      </c>
      <c r="I15" s="2969"/>
      <c r="J15" s="2969"/>
      <c r="K15" s="2969"/>
      <c r="L15" s="2969"/>
      <c r="M15" s="2969">
        <v>4100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FS16-0102-0071</v>
      </c>
      <c r="AW15" s="17">
        <f t="shared" si="10"/>
        <v>0</v>
      </c>
      <c r="AX15" s="17" t="str">
        <f t="shared" si="10"/>
        <v>停车场</v>
      </c>
      <c r="AY15" s="995">
        <f t="shared" si="11"/>
        <v>40700</v>
      </c>
      <c r="AZ15" s="27">
        <f t="shared" si="12"/>
        <v>4100</v>
      </c>
      <c r="BA15" s="27">
        <f t="shared" si="13"/>
        <v>4100</v>
      </c>
      <c r="BB15" s="27">
        <f t="shared" si="14"/>
        <v>0</v>
      </c>
      <c r="BC15" s="27">
        <f t="shared" si="15"/>
        <v>0</v>
      </c>
      <c r="BD15" s="27">
        <f t="shared" si="16"/>
        <v>4100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5" t="s">
        <v>3006</v>
      </c>
      <c r="B16" s="2965"/>
      <c r="C16" s="2967" t="s">
        <v>3010</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FS16-0102-0072</v>
      </c>
      <c r="AW16" s="17">
        <f t="shared" si="10"/>
        <v>0</v>
      </c>
      <c r="AX16" s="17" t="str">
        <f t="shared" si="10"/>
        <v>停车场</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5" t="s">
        <v>3007</v>
      </c>
      <c r="B17" s="2965"/>
      <c r="C17" s="2967" t="s">
        <v>3011</v>
      </c>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FS16-0102-0073</v>
      </c>
      <c r="AW17" s="17">
        <f t="shared" si="10"/>
        <v>0</v>
      </c>
      <c r="AX17" s="17" t="str">
        <f t="shared" si="10"/>
        <v>商业金融</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5" sqref="G35"/>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199</v>
      </c>
      <c r="B1" s="1968"/>
      <c r="C1" s="1968"/>
      <c r="D1" s="1968"/>
      <c r="E1" s="1968"/>
      <c r="F1" s="1968"/>
      <c r="G1" s="1968"/>
      <c r="H1" s="1968"/>
      <c r="I1" s="1968"/>
      <c r="J1" s="1968"/>
      <c r="K1" s="1968"/>
      <c r="L1" s="1968"/>
    </row>
    <row r="2" spans="1:16" ht="15">
      <c r="A2" s="3333" t="s">
        <v>200</v>
      </c>
      <c r="B2" s="3333"/>
      <c r="C2" s="3333"/>
      <c r="D2" s="1959" t="s">
        <v>201</v>
      </c>
      <c r="E2" s="106" t="s">
        <v>202</v>
      </c>
      <c r="F2" s="1968"/>
      <c r="G2" s="1193"/>
      <c r="H2" s="1194"/>
      <c r="I2" s="1195" t="s">
        <v>854</v>
      </c>
      <c r="J2" s="1968"/>
      <c r="K2" s="1968"/>
      <c r="L2" s="1968"/>
    </row>
    <row r="3" spans="1:16" ht="15.75" thickBot="1">
      <c r="A3" s="3334" t="s">
        <v>203</v>
      </c>
      <c r="B3" s="3334"/>
      <c r="C3" s="3334"/>
      <c r="D3" s="107">
        <f>'数据-基础表'!AY6</f>
        <v>40700</v>
      </c>
      <c r="E3" s="107">
        <f>'数据-基础表'!AZ5</f>
        <v>4100</v>
      </c>
      <c r="F3" s="1968"/>
      <c r="G3" s="279" t="s">
        <v>855</v>
      </c>
      <c r="H3" s="274" t="s">
        <v>856</v>
      </c>
      <c r="I3" s="1960">
        <f>ROUND('数据-基础表'!B3/'数据-基础表'!A3,2)</f>
        <v>0.1</v>
      </c>
      <c r="J3" s="1968"/>
      <c r="K3" s="1968"/>
      <c r="L3" s="1968"/>
    </row>
    <row r="4" spans="1:16" ht="15">
      <c r="A4" s="3335"/>
      <c r="B4" s="3336"/>
      <c r="C4" s="3337"/>
      <c r="D4" s="108" t="s">
        <v>201</v>
      </c>
      <c r="E4" s="109" t="s">
        <v>202</v>
      </c>
      <c r="F4" s="1968"/>
      <c r="G4" s="1196"/>
      <c r="H4" s="274" t="s">
        <v>857</v>
      </c>
      <c r="I4" s="1960">
        <f>ROUND(SUMIF('数据-基础表'!I9:AS9,"地上",'数据-基础表'!I5:AS5)/'数据-基础表'!A3,2)</f>
        <v>0.1</v>
      </c>
      <c r="J4" s="1968"/>
      <c r="K4" s="1968"/>
      <c r="L4" s="1968"/>
    </row>
    <row r="5" spans="1:16">
      <c r="A5" s="110" t="s">
        <v>204</v>
      </c>
      <c r="B5" s="3338" t="s">
        <v>227</v>
      </c>
      <c r="C5" s="3338"/>
      <c r="D5" s="111">
        <f>ROUND($D$3*E5/$E$3,2)</f>
        <v>0</v>
      </c>
      <c r="E5" s="112">
        <f>SUMIF('数据-基础表'!$11:$11,"住宅",'数据-基础表'!$5:$5)</f>
        <v>0</v>
      </c>
      <c r="F5" s="1968"/>
      <c r="G5" s="279" t="s">
        <v>858</v>
      </c>
      <c r="H5" s="274" t="s">
        <v>856</v>
      </c>
      <c r="I5" s="1960">
        <f>ROUND(E31/D31,2)</f>
        <v>0.1</v>
      </c>
      <c r="J5" s="1968"/>
      <c r="K5" s="1968"/>
      <c r="L5" s="1968"/>
    </row>
    <row r="6" spans="1:16" ht="15" thickBot="1">
      <c r="A6" s="113"/>
      <c r="B6" s="3338" t="s">
        <v>205</v>
      </c>
      <c r="C6" s="3338"/>
      <c r="D6" s="111">
        <f>ROUND($D$3*E6/$E$3,2)</f>
        <v>40700</v>
      </c>
      <c r="E6" s="112">
        <f>E3-E5</f>
        <v>4100</v>
      </c>
      <c r="F6" s="1968"/>
      <c r="G6" s="1196"/>
      <c r="H6" s="274" t="s">
        <v>857</v>
      </c>
      <c r="I6" s="1960">
        <f>ROUND(F31/D31,2)</f>
        <v>0.1</v>
      </c>
      <c r="J6" s="1968"/>
      <c r="K6" s="1968"/>
      <c r="L6" s="1968"/>
    </row>
    <row r="7" spans="1:16" ht="15">
      <c r="A7" s="3330"/>
      <c r="B7" s="3331"/>
      <c r="C7" s="3332"/>
      <c r="D7" s="108" t="s">
        <v>201</v>
      </c>
      <c r="E7" s="114" t="s">
        <v>228</v>
      </c>
      <c r="F7" s="1968"/>
      <c r="G7" s="1151" t="s">
        <v>1642</v>
      </c>
      <c r="H7" s="1152"/>
      <c r="I7" s="1830">
        <v>0.3</v>
      </c>
      <c r="J7" s="1968"/>
      <c r="K7" s="1968"/>
      <c r="L7" s="1968"/>
    </row>
    <row r="8" spans="1:16">
      <c r="A8" s="110" t="s">
        <v>206</v>
      </c>
      <c r="B8" s="115" t="s">
        <v>207</v>
      </c>
      <c r="C8" s="111" t="s">
        <v>208</v>
      </c>
      <c r="D8" s="111">
        <f t="shared" ref="D8:D15" si="0">ROUND($D$3*E8/$E$3,2)</f>
        <v>40700</v>
      </c>
      <c r="E8" s="116">
        <f>SUMIF('数据-基础表'!BB10:BK10,"地上",'数据-基础表'!BB5:BK5)</f>
        <v>4100</v>
      </c>
      <c r="F8" s="1968"/>
      <c r="G8" s="1970"/>
      <c r="H8" s="1970"/>
      <c r="I8" s="1968"/>
      <c r="J8" s="1968"/>
      <c r="K8" s="1968"/>
      <c r="L8" s="1968"/>
    </row>
    <row r="9" spans="1:16">
      <c r="A9" s="117"/>
      <c r="B9" s="118"/>
      <c r="C9" s="111" t="s">
        <v>209</v>
      </c>
      <c r="D9" s="111">
        <f t="shared" si="0"/>
        <v>0</v>
      </c>
      <c r="E9" s="119">
        <v>0</v>
      </c>
      <c r="F9" s="1968"/>
      <c r="G9" s="1970"/>
      <c r="H9" s="1970"/>
      <c r="I9" s="1968"/>
      <c r="J9" s="1968"/>
      <c r="K9" s="1968"/>
      <c r="L9" s="1968"/>
    </row>
    <row r="10" spans="1:16">
      <c r="A10" s="117"/>
      <c r="B10" s="118"/>
      <c r="C10" s="111" t="s">
        <v>210</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211</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229</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230</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212</v>
      </c>
      <c r="D16" s="115">
        <f>SUM(D8:D15)</f>
        <v>40700</v>
      </c>
      <c r="E16" s="120">
        <f>SUM(E8:E15)</f>
        <v>4100</v>
      </c>
      <c r="F16" s="1968"/>
      <c r="G16" s="1970"/>
      <c r="H16" s="967" t="s">
        <v>216</v>
      </c>
      <c r="I16" s="968"/>
      <c r="J16" s="1968"/>
      <c r="K16" s="3324" t="s">
        <v>2563</v>
      </c>
      <c r="L16" s="3325"/>
      <c r="M16" s="3325"/>
      <c r="N16" s="3325"/>
      <c r="O16" s="3325"/>
      <c r="P16" s="3326"/>
    </row>
    <row r="17" spans="1:19" ht="15">
      <c r="A17" s="121" t="s">
        <v>213</v>
      </c>
      <c r="B17" s="122" t="s">
        <v>214</v>
      </c>
      <c r="C17" s="2282" t="s">
        <v>2310</v>
      </c>
      <c r="D17" s="108" t="s">
        <v>201</v>
      </c>
      <c r="E17" s="124" t="s">
        <v>202</v>
      </c>
      <c r="F17" s="125"/>
      <c r="G17" s="1361"/>
      <c r="H17" s="969" t="s">
        <v>215</v>
      </c>
      <c r="I17" s="970" t="s">
        <v>2309</v>
      </c>
      <c r="J17" s="1968"/>
      <c r="K17" s="3327" t="s">
        <v>2564</v>
      </c>
      <c r="L17" s="3328"/>
      <c r="M17" s="3329"/>
      <c r="N17" s="3327" t="s">
        <v>2565</v>
      </c>
      <c r="O17" s="3328"/>
      <c r="P17" s="3329"/>
      <c r="R17" s="2283" t="s">
        <v>2308</v>
      </c>
      <c r="S17" s="144"/>
    </row>
    <row r="18" spans="1:19" ht="15">
      <c r="A18" s="117"/>
      <c r="B18" s="128"/>
      <c r="C18" s="129"/>
      <c r="D18" s="2605"/>
      <c r="E18" s="130" t="s">
        <v>217</v>
      </c>
      <c r="F18" s="131" t="s">
        <v>218</v>
      </c>
      <c r="G18" s="1362" t="s">
        <v>219</v>
      </c>
      <c r="H18" s="971" t="s">
        <v>220</v>
      </c>
      <c r="I18" s="972" t="s">
        <v>221</v>
      </c>
      <c r="J18" s="1968"/>
      <c r="K18" s="2568" t="s">
        <v>2566</v>
      </c>
      <c r="L18" s="2569" t="s">
        <v>2567</v>
      </c>
      <c r="M18" s="2570" t="s">
        <v>2568</v>
      </c>
      <c r="N18" s="2568" t="s">
        <v>2566</v>
      </c>
      <c r="O18" s="2569" t="s">
        <v>2567</v>
      </c>
      <c r="P18" s="2570" t="s">
        <v>2568</v>
      </c>
      <c r="R18" s="2284" t="s">
        <v>2306</v>
      </c>
      <c r="S18" s="2284" t="s">
        <v>2307</v>
      </c>
    </row>
    <row r="19" spans="1:19">
      <c r="A19" s="133"/>
      <c r="B19" s="115" t="s">
        <v>222</v>
      </c>
      <c r="C19" s="2976" t="s">
        <v>3014</v>
      </c>
      <c r="D19" s="111">
        <f t="shared" ref="D19:D26" si="1">ROUND($D$3*E19/$E$3,2)</f>
        <v>0</v>
      </c>
      <c r="E19" s="134">
        <f t="shared" ref="E19:E26" si="2">SUM(F19:G19)</f>
        <v>0</v>
      </c>
      <c r="F19" s="135">
        <f>'数据-基础表'!I13</f>
        <v>0</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0</v>
      </c>
      <c r="S19" s="2285">
        <f t="shared" si="5"/>
        <v>0</v>
      </c>
    </row>
    <row r="20" spans="1:19">
      <c r="A20" s="138"/>
      <c r="B20" s="115" t="s">
        <v>223</v>
      </c>
      <c r="C20" s="2976" t="str">
        <f>定义!A19</f>
        <v>旅馆</v>
      </c>
      <c r="D20" s="111">
        <f t="shared" si="1"/>
        <v>0</v>
      </c>
      <c r="E20" s="134">
        <f t="shared" si="2"/>
        <v>0</v>
      </c>
      <c r="F20" s="135">
        <f>'数据-基础表'!K14</f>
        <v>0</v>
      </c>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223</v>
      </c>
      <c r="C21" s="2976" t="s">
        <v>3087</v>
      </c>
      <c r="D21" s="111">
        <f t="shared" si="1"/>
        <v>40700</v>
      </c>
      <c r="E21" s="134">
        <f t="shared" si="2"/>
        <v>4100</v>
      </c>
      <c r="F21" s="135">
        <f>'数据-基础表'!M15</f>
        <v>4100</v>
      </c>
      <c r="G21" s="1363"/>
      <c r="H21" s="973">
        <f t="shared" si="6"/>
        <v>0</v>
      </c>
      <c r="I21" s="116">
        <f t="shared" si="7"/>
        <v>0</v>
      </c>
      <c r="J21" s="1968"/>
      <c r="K21" s="2571">
        <f t="shared" si="3"/>
        <v>0</v>
      </c>
      <c r="L21" s="274">
        <f t="shared" si="4"/>
        <v>0</v>
      </c>
      <c r="M21" s="2572">
        <f t="shared" si="8"/>
        <v>0</v>
      </c>
      <c r="N21" s="2573"/>
      <c r="O21" s="2574"/>
      <c r="P21" s="2575">
        <f t="shared" si="9"/>
        <v>0</v>
      </c>
      <c r="R21" s="274">
        <f t="shared" si="5"/>
        <v>40700</v>
      </c>
      <c r="S21" s="2285">
        <f t="shared" si="5"/>
        <v>4100</v>
      </c>
    </row>
    <row r="22" spans="1:19">
      <c r="A22" s="138"/>
      <c r="B22" s="115" t="s">
        <v>223</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223</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223</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223</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223</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212</v>
      </c>
      <c r="D27" s="134">
        <f>SUM(D19:D26)</f>
        <v>40700</v>
      </c>
      <c r="E27" s="143">
        <f>IF(SUM(E19:E26)='数据-基础表'!BA5,SUM(E19:E26),IF(F27="地上面积有误","面积有误","地下面积有误"))</f>
        <v>4100</v>
      </c>
      <c r="F27" s="134">
        <f>IF(SUM(F19:F26)=E8,SUM(F19:F26),"地上面积有误")</f>
        <v>4100</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40700</v>
      </c>
      <c r="S27" s="274">
        <f>IF(SUM(S19:S26)=$E$3,SUM(S19:S26),SUM(S19:S26)&amp;"误差"&amp;ROUND(SUM(S19:S26)-E3,2))</f>
        <v>4100</v>
      </c>
    </row>
    <row r="28" spans="1:19">
      <c r="A28" s="138"/>
      <c r="B28" s="115" t="s">
        <v>224</v>
      </c>
      <c r="C28" s="136" t="s">
        <v>225</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224</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212</v>
      </c>
      <c r="D30" s="134">
        <f>SUM(D28:D29)</f>
        <v>0</v>
      </c>
      <c r="E30" s="134">
        <f>SUM(E28:E29)</f>
        <v>0</v>
      </c>
      <c r="F30" s="134">
        <f>SUM(F28:F29)</f>
        <v>0</v>
      </c>
      <c r="G30" s="112">
        <f>SUM(G28:G29)</f>
        <v>0</v>
      </c>
      <c r="H30" s="1968"/>
      <c r="I30" s="1968"/>
      <c r="J30" s="1968"/>
      <c r="K30" s="1968"/>
      <c r="L30" s="1968"/>
    </row>
    <row r="31" spans="1:19" ht="32.25" customHeight="1" thickBot="1">
      <c r="A31" s="1365"/>
      <c r="B31" s="1366" t="s">
        <v>226</v>
      </c>
      <c r="C31" s="2314" t="s">
        <v>2319</v>
      </c>
      <c r="D31" s="1367">
        <f>D27+D30</f>
        <v>40700</v>
      </c>
      <c r="E31" s="1367">
        <f>E27+E30</f>
        <v>4100</v>
      </c>
      <c r="F31" s="1368">
        <f>F27+F30</f>
        <v>4100</v>
      </c>
      <c r="G31" s="1369">
        <f>G27+G30</f>
        <v>0</v>
      </c>
      <c r="H31" s="1968"/>
      <c r="I31" s="1968"/>
      <c r="J31" s="1968"/>
      <c r="K31" s="1968"/>
      <c r="L31" s="1968"/>
    </row>
    <row r="32" spans="1:19">
      <c r="A32" s="1968"/>
      <c r="B32" s="2326" t="s">
        <v>2318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232</v>
      </c>
      <c r="B2" s="2322">
        <f>项目基本情况!D3</f>
        <v>43700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861</v>
      </c>
      <c r="B4" s="152"/>
      <c r="C4" s="153"/>
      <c r="D4" s="1203"/>
      <c r="E4" s="1204" t="s">
        <v>862</v>
      </c>
      <c r="F4" s="153"/>
      <c r="G4" s="153"/>
      <c r="H4" s="153"/>
      <c r="I4" s="153"/>
      <c r="J4" s="154"/>
      <c r="K4" s="1205"/>
      <c r="L4" s="1206"/>
      <c r="M4" s="153"/>
      <c r="N4" s="1204"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4" t="s">
        <v>2824</v>
      </c>
      <c r="O5" s="163" t="s">
        <v>243</v>
      </c>
      <c r="P5" s="165" t="s">
        <v>244</v>
      </c>
      <c r="Q5" s="166" t="s">
        <v>245</v>
      </c>
      <c r="R5" s="167" t="s">
        <v>246</v>
      </c>
      <c r="S5" s="2584" t="s">
        <v>2569</v>
      </c>
      <c r="T5" s="168" t="s">
        <v>247</v>
      </c>
      <c r="U5" s="169" t="s">
        <v>248</v>
      </c>
      <c r="V5" s="159" t="s">
        <v>249</v>
      </c>
      <c r="W5" s="159" t="s">
        <v>250</v>
      </c>
      <c r="X5" s="1802"/>
      <c r="Y5" s="170" t="s">
        <v>251</v>
      </c>
      <c r="Z5" s="171" t="s">
        <v>252</v>
      </c>
      <c r="AA5" s="159" t="s">
        <v>249</v>
      </c>
      <c r="AB5" s="159" t="s">
        <v>250</v>
      </c>
      <c r="AC5" s="1803"/>
      <c r="AD5" s="172" t="s">
        <v>251</v>
      </c>
      <c r="AE5" s="1" t="s">
        <v>867</v>
      </c>
      <c r="AF5" s="159" t="s">
        <v>253</v>
      </c>
      <c r="AG5" s="170" t="s">
        <v>254</v>
      </c>
      <c r="AH5" s="1803" t="s">
        <v>2320</v>
      </c>
      <c r="AI5" s="171" t="s">
        <v>2289</v>
      </c>
      <c r="AJ5" s="171" t="s">
        <v>255</v>
      </c>
      <c r="AK5" s="159" t="s">
        <v>256</v>
      </c>
      <c r="AL5" s="159" t="s">
        <v>257</v>
      </c>
      <c r="AM5" s="172" t="s">
        <v>258</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娱乐</v>
      </c>
      <c r="B6" s="2321" t="str">
        <f>IF(A6=0,"","经营性")</f>
        <v>经营性</v>
      </c>
      <c r="C6" s="173" t="s">
        <v>1674</v>
      </c>
      <c r="D6" s="2292">
        <f>SUMIF(项目基本情况!D$15:I$15,C6,项目基本情况!D$18:I$18)</f>
        <v>50</v>
      </c>
      <c r="E6" s="2293">
        <f>IF(B6="","",SUMIF(项目基本情况!D$15:I$15,C6,项目基本情况!D$17:I$17))</f>
        <v>61962</v>
      </c>
      <c r="F6" s="174">
        <f>SUMIF(项目基本情况!D$15:I$15,C6,项目基本情况!D$19:I$19)</f>
        <v>50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旅馆</v>
      </c>
      <c r="B7" s="2321" t="str">
        <f t="shared" ref="B7:B13" si="1">IF(A7=0,"","经营性")</f>
        <v>经营性</v>
      </c>
      <c r="C7" s="173" t="s">
        <v>3083</v>
      </c>
      <c r="D7" s="2292">
        <f>SUMIF(项目基本情况!D$15:I$15,C7,项目基本情况!D$18:I$18)</f>
        <v>40</v>
      </c>
      <c r="E7" s="2293">
        <f>IF(B7="","",SUMIF(项目基本情况!D$15:I$15,C7,项目基本情况!D$17:I$17))</f>
        <v>58309</v>
      </c>
      <c r="F7" s="174">
        <f>SUMIF(项目基本情况!D$15:I$15,C7,项目基本情况!D$19:I$19)</f>
        <v>40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停车场1</v>
      </c>
      <c r="B8" s="2321" t="str">
        <f t="shared" si="1"/>
        <v>经营性</v>
      </c>
      <c r="C8" s="173" t="s">
        <v>3086</v>
      </c>
      <c r="D8" s="2292">
        <f>SUMIF(项目基本情况!D$15:I$15,C8,项目基本情况!D$18:I$18)</f>
        <v>50</v>
      </c>
      <c r="E8" s="2293">
        <f>IF(B8="","",SUMIF(项目基本情况!D$15:I$15,C8,项目基本情况!D$17:I$17))</f>
        <v>61962</v>
      </c>
      <c r="F8" s="174">
        <f>SUMIF(项目基本情况!D$15:I$15,C8,项目基本情况!D$19:I$19)</f>
        <v>50</v>
      </c>
      <c r="G8" s="175">
        <f t="shared" si="2"/>
        <v>1</v>
      </c>
      <c r="H8" s="2977">
        <v>4.4999999999999998E-2</v>
      </c>
      <c r="I8" s="2977">
        <v>0.05</v>
      </c>
      <c r="J8" s="176">
        <v>6.5000000000000002E-2</v>
      </c>
      <c r="K8" s="179">
        <f>SUMIF('数据-汇总表'!C$19:C$33,'数据-取费表'!A8,'数据-汇总表'!E$19:E$33)</f>
        <v>4100</v>
      </c>
      <c r="L8" s="2978">
        <v>2000</v>
      </c>
      <c r="M8" s="177">
        <f>ROUND(K8*L8/10000,0)</f>
        <v>820</v>
      </c>
      <c r="N8" s="2979">
        <v>0</v>
      </c>
      <c r="O8" s="177">
        <f t="shared" si="3"/>
        <v>0</v>
      </c>
      <c r="P8" s="178">
        <f t="shared" si="4"/>
        <v>820</v>
      </c>
      <c r="Q8" s="2980">
        <v>0.05</v>
      </c>
      <c r="R8" s="179">
        <f>SUMIF('数据-汇总表'!C$19:C$33,A8,'数据-汇总表'!R$19:R$33)</f>
        <v>40700</v>
      </c>
      <c r="S8" s="132">
        <f>IF('数据-汇总表'!$I$17="按面积比例",SUMIF('数据-汇总表'!C$19:C$33,A8,'数据-汇总表'!K$19:K$33),SUMIF('数据-汇总表'!C$19:C$33,A8,'数据-汇总表'!N$19:N$33))</f>
        <v>0</v>
      </c>
      <c r="T8" s="2218" t="str">
        <f t="shared" si="5"/>
        <v>0</v>
      </c>
      <c r="U8" s="3252">
        <v>580</v>
      </c>
      <c r="V8" s="181">
        <v>3.5000000000000003E-2</v>
      </c>
      <c r="W8" s="181">
        <v>0.1</v>
      </c>
      <c r="X8" s="2305"/>
      <c r="Y8" s="182">
        <v>1</v>
      </c>
      <c r="Z8" s="183"/>
      <c r="AA8" s="176"/>
      <c r="AB8" s="176"/>
      <c r="AC8" s="2308"/>
      <c r="AD8" s="184"/>
      <c r="AE8" s="971">
        <f t="shared" ca="1" si="6"/>
        <v>50</v>
      </c>
      <c r="AF8" s="141"/>
      <c r="AG8" s="1208">
        <f t="shared" si="7"/>
        <v>0</v>
      </c>
      <c r="AH8" s="141">
        <f>ROUND('数据-基础表'!B3/35,0)</f>
        <v>117</v>
      </c>
      <c r="AI8" s="187">
        <v>12</v>
      </c>
      <c r="AJ8" s="188"/>
      <c r="AK8" s="189">
        <v>1.4999999999999999E-2</v>
      </c>
      <c r="AL8" s="190">
        <v>1.5E-3</v>
      </c>
      <c r="AM8" s="2353">
        <v>0.01</v>
      </c>
      <c r="AN8" s="2355" t="s">
        <v>3254</v>
      </c>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1676</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1676</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259</v>
      </c>
      <c r="B16" s="199"/>
      <c r="C16" s="200"/>
      <c r="D16" s="201"/>
      <c r="E16" s="199"/>
      <c r="F16" s="199"/>
      <c r="G16" s="202">
        <f>ROUND(SUMPRODUCT(G6:G13,K6:K13)/SUMPRODUCT((G6:G13&gt;0)*(K6:K13)),3)</f>
        <v>1</v>
      </c>
      <c r="H16" s="203">
        <f>ROUND(SUMPRODUCT(H6:H13,K6:K13)/SUMPRODUCT((H6:H13&gt;0)*(K6:K13)),3)</f>
        <v>4.4999999999999998E-2</v>
      </c>
      <c r="I16" s="204"/>
      <c r="J16" s="204"/>
      <c r="K16" s="205">
        <f>SUM(K6:K15)</f>
        <v>4100</v>
      </c>
      <c r="L16" s="206">
        <f>ROUND(M16*10000/SUM(K6:K14),0)</f>
        <v>2000</v>
      </c>
      <c r="M16" s="206">
        <f>SUM(M6:M14)</f>
        <v>820</v>
      </c>
      <c r="N16" s="207">
        <f>ROUND(SUMPRODUCT(M6:M14,N6:N14)/M16,3)</f>
        <v>0</v>
      </c>
      <c r="O16" s="206">
        <f>SUM(O6:O14)</f>
        <v>0</v>
      </c>
      <c r="P16" s="206">
        <f>SUM(P6:P14)</f>
        <v>820</v>
      </c>
      <c r="Q16" s="208">
        <f>ROUND(SUMPRODUCT(Q6:Q13,K6:K13)/SUMPRODUCT((Q6:Q13&gt;0)*(K6:K13)),2)</f>
        <v>0.05</v>
      </c>
      <c r="R16" s="2295">
        <f>SUM(R6:R13)</f>
        <v>40700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0.88900000000000001</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thickBot="1">
      <c r="A19" s="217" t="s">
        <v>261</v>
      </c>
      <c r="B19" s="218">
        <f>'[3]数据-取费表'!$B$19</f>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thickBot="1">
      <c r="A20" s="219" t="s">
        <v>262</v>
      </c>
      <c r="B20" s="218">
        <f>'[3]数据-取费表'!$B$20</f>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263</v>
      </c>
      <c r="B21" s="218"/>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264</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265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266</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267</v>
      </c>
      <c r="B26" s="224" t="s">
        <v>268</v>
      </c>
      <c r="C26" s="1979" t="s">
        <v>269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2335</v>
      </c>
      <c r="B27" s="226">
        <f>'[3]数据-取费表'!$B$27</f>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2336</v>
      </c>
      <c r="B28" s="228">
        <f>'[3]数据-取费表'!$B$28</f>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2334</v>
      </c>
      <c r="B29" s="231"/>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270</v>
      </c>
      <c r="B30" s="977">
        <f>'[3]数据-取费表'!$B$30</f>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271</v>
      </c>
      <c r="B31" s="229">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272</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275</v>
      </c>
      <c r="B33" s="1374">
        <f>'[3]数据-取费表'!$B$33</f>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276</v>
      </c>
      <c r="B34" s="232">
        <f>'[3]数据-取费表'!$B$34</f>
        <v>0</v>
      </c>
      <c r="C34" s="2328" t="s">
        <v>2891</v>
      </c>
      <c r="D34" s="1977" t="s">
        <v>868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273</v>
      </c>
      <c r="B35" s="228">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274</v>
      </c>
      <c r="B36" s="233">
        <v>1.4999999999999999E-2</v>
      </c>
      <c r="C36" s="2328" t="s">
        <v>2893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277</v>
      </c>
      <c r="B37" s="235">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278</v>
      </c>
      <c r="B38" s="232">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279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280</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282</v>
      </c>
      <c r="B44" s="241">
        <v>0.05</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283</v>
      </c>
      <c r="B45" s="239">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284</v>
      </c>
      <c r="B46" s="239">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285</v>
      </c>
      <c r="B47" s="243"/>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286</v>
      </c>
      <c r="B48" s="245">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287</v>
      </c>
      <c r="B49" s="239">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288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289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290</v>
      </c>
      <c r="B52" s="249">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291</v>
      </c>
      <c r="B53" s="250" t="s">
        <v>1406</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4"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39" t="s">
        <v>1660</v>
      </c>
      <c r="B1" s="3340"/>
      <c r="C1" s="3340"/>
      <c r="D1" s="3340"/>
      <c r="E1" s="3340"/>
      <c r="F1" s="3340"/>
      <c r="G1" s="3340"/>
      <c r="H1" s="1986"/>
      <c r="I1" s="1987"/>
      <c r="J1" s="1988"/>
      <c r="K1" s="1986"/>
      <c r="L1" s="1987"/>
      <c r="M1" s="1988"/>
      <c r="N1" s="1986"/>
      <c r="O1" s="1987"/>
      <c r="P1" s="1988"/>
      <c r="Q1" s="1989"/>
      <c r="R1" s="1990"/>
    </row>
    <row r="2" spans="1:18" ht="14.25" thickBot="1">
      <c r="A2" s="1216"/>
      <c r="B2" s="1217"/>
      <c r="C2" s="1218" t="s">
        <v>1661</v>
      </c>
      <c r="D2" s="1219"/>
      <c r="E2" s="1220"/>
      <c r="F2" s="1221"/>
      <c r="G2" s="1218" t="s">
        <v>1662</v>
      </c>
      <c r="H2" s="1992"/>
      <c r="I2" s="1992"/>
      <c r="J2" s="1992"/>
      <c r="K2" s="1992"/>
      <c r="L2" s="1992"/>
      <c r="M2" s="1992"/>
      <c r="N2" s="1992"/>
      <c r="O2" s="1992"/>
      <c r="P2" s="1992"/>
      <c r="Q2" s="1992"/>
      <c r="R2" s="1992"/>
    </row>
    <row r="3" spans="1:18" ht="54">
      <c r="A3" s="1222" t="s">
        <v>1663</v>
      </c>
      <c r="B3" s="1223" t="s">
        <v>1650</v>
      </c>
      <c r="C3" s="3032" t="s">
        <v>2919</v>
      </c>
      <c r="D3" s="1993"/>
      <c r="E3" s="1224" t="s">
        <v>1663</v>
      </c>
      <c r="F3" s="1225" t="s">
        <v>1651</v>
      </c>
      <c r="G3" s="3036" t="s">
        <v>2918</v>
      </c>
      <c r="H3" s="1992"/>
      <c r="I3" s="1992"/>
      <c r="J3" s="1992"/>
      <c r="K3" s="1992"/>
      <c r="L3" s="1992"/>
      <c r="M3" s="1992"/>
      <c r="N3" s="1992"/>
      <c r="O3" s="1992"/>
      <c r="P3" s="1992"/>
      <c r="Q3" s="1992"/>
      <c r="R3" s="1992"/>
    </row>
    <row r="4" spans="1:18" ht="41.25">
      <c r="A4" s="1224"/>
      <c r="B4" s="1226" t="s">
        <v>1664</v>
      </c>
      <c r="C4" s="3033" t="s">
        <v>2920</v>
      </c>
      <c r="D4" s="1993"/>
      <c r="E4" s="1227"/>
      <c r="F4" s="1228" t="s">
        <v>1665</v>
      </c>
      <c r="G4" s="3034" t="s">
        <v>2915</v>
      </c>
      <c r="H4" s="1992"/>
      <c r="I4" s="1992"/>
      <c r="J4" s="1992"/>
      <c r="K4" s="1992"/>
      <c r="L4" s="1992"/>
      <c r="M4" s="1992"/>
      <c r="N4" s="1992"/>
      <c r="O4" s="1992"/>
      <c r="P4" s="1992"/>
      <c r="Q4" s="1992"/>
      <c r="R4" s="1992"/>
    </row>
    <row r="5" spans="1:18" ht="41.25">
      <c r="A5" s="1224"/>
      <c r="B5" s="1226" t="s">
        <v>1666</v>
      </c>
      <c r="C5" s="3033" t="s">
        <v>2921</v>
      </c>
      <c r="D5" s="1993"/>
      <c r="E5" s="1227"/>
      <c r="F5" s="1226" t="s">
        <v>2543</v>
      </c>
      <c r="G5" s="3034" t="s">
        <v>2916</v>
      </c>
      <c r="H5" s="1992"/>
      <c r="I5" s="1992"/>
      <c r="J5" s="1992"/>
      <c r="K5" s="1992"/>
      <c r="L5" s="1992"/>
      <c r="M5" s="1992"/>
      <c r="N5" s="1992"/>
      <c r="O5" s="1992"/>
      <c r="P5" s="1992"/>
      <c r="Q5" s="1992"/>
      <c r="R5" s="1992"/>
    </row>
    <row r="6" spans="1:18" ht="54">
      <c r="A6" s="1224"/>
      <c r="B6" s="1226" t="s">
        <v>1652</v>
      </c>
      <c r="C6" s="3034" t="s">
        <v>2915</v>
      </c>
      <c r="D6" s="1993"/>
      <c r="E6" s="1227"/>
      <c r="F6" s="1226" t="s">
        <v>2544</v>
      </c>
      <c r="G6" s="3034" t="s">
        <v>2913</v>
      </c>
      <c r="H6" s="1992"/>
      <c r="I6" s="1992"/>
      <c r="J6" s="1992"/>
      <c r="K6" s="1992"/>
      <c r="L6" s="1992"/>
      <c r="M6" s="1992"/>
      <c r="N6" s="1992"/>
      <c r="O6" s="1992"/>
      <c r="P6" s="1992"/>
      <c r="Q6" s="1992"/>
      <c r="R6" s="1992"/>
    </row>
    <row r="7" spans="1:18" ht="41.25" thickBot="1">
      <c r="A7" s="1224"/>
      <c r="B7" s="1226" t="s">
        <v>2543</v>
      </c>
      <c r="C7" s="3034" t="s">
        <v>2916</v>
      </c>
      <c r="D7" s="1994"/>
      <c r="E7" s="1229"/>
      <c r="F7" s="1230" t="s">
        <v>1667</v>
      </c>
      <c r="G7" s="3037" t="s">
        <v>2917</v>
      </c>
      <c r="H7" s="1992"/>
      <c r="I7" s="1992"/>
      <c r="J7" s="1992"/>
      <c r="K7" s="1992"/>
      <c r="L7" s="1992"/>
      <c r="M7" s="1992"/>
      <c r="N7" s="1992"/>
      <c r="O7" s="1992"/>
      <c r="P7" s="1992"/>
      <c r="Q7" s="1992"/>
      <c r="R7" s="1992"/>
    </row>
    <row r="8" spans="1:18" ht="27">
      <c r="A8" s="1224"/>
      <c r="B8" s="1226" t="s">
        <v>2544</v>
      </c>
      <c r="C8" s="3034" t="s">
        <v>2913</v>
      </c>
      <c r="D8" s="1994"/>
      <c r="E8" s="1994"/>
      <c r="F8" s="1539"/>
      <c r="G8" s="1539"/>
      <c r="H8" s="1992"/>
      <c r="I8" s="1992"/>
      <c r="J8" s="1992"/>
      <c r="K8" s="1992"/>
      <c r="L8" s="1992"/>
      <c r="M8" s="1992"/>
      <c r="N8" s="1992"/>
      <c r="O8" s="1992"/>
      <c r="P8" s="1992"/>
      <c r="Q8" s="1992"/>
      <c r="R8" s="1992"/>
    </row>
    <row r="9" spans="1:18" ht="40.5">
      <c r="A9" s="1224"/>
      <c r="B9" s="1226" t="s">
        <v>1653</v>
      </c>
      <c r="C9" s="3033" t="s">
        <v>2914</v>
      </c>
      <c r="D9" s="1993"/>
      <c r="E9" s="1994"/>
      <c r="F9" s="1539"/>
      <c r="G9" s="1539"/>
      <c r="H9" s="1992"/>
      <c r="I9" s="1992"/>
      <c r="J9" s="1992"/>
      <c r="K9" s="1992"/>
      <c r="L9" s="1992"/>
      <c r="M9" s="1992"/>
      <c r="N9" s="1992"/>
      <c r="O9" s="1992"/>
      <c r="P9" s="1992"/>
      <c r="Q9" s="1992"/>
      <c r="R9" s="1992"/>
    </row>
    <row r="10" spans="1:18" s="2000" customFormat="1" ht="15" thickBot="1">
      <c r="A10" s="1231"/>
      <c r="B10" s="1232" t="s">
        <v>1668</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1669</v>
      </c>
      <c r="B13" s="2541"/>
      <c r="C13" s="2541"/>
      <c r="D13" s="1219"/>
      <c r="E13" s="2541"/>
      <c r="F13" s="2541"/>
      <c r="G13" s="2541"/>
    </row>
    <row r="14" spans="1:18" ht="14.25" thickBot="1">
      <c r="A14" s="1233"/>
      <c r="B14" s="1234"/>
      <c r="C14" s="1235" t="s">
        <v>1661</v>
      </c>
      <c r="D14" s="1993"/>
      <c r="E14" s="1236"/>
      <c r="F14" s="1236"/>
      <c r="G14" s="1218" t="s">
        <v>1662</v>
      </c>
    </row>
    <row r="15" spans="1:18" ht="54">
      <c r="A15" s="2551" t="s">
        <v>1654</v>
      </c>
      <c r="B15" s="1237" t="s">
        <v>1650</v>
      </c>
      <c r="C15" s="1238" t="str">
        <f>C3</f>
        <v>估价对象周边居住用地比例、居住小区规模和社区发展完善程度，综合评价居住社区成熟度一般</v>
      </c>
      <c r="D15" s="1993"/>
      <c r="E15" s="2548" t="s">
        <v>1655</v>
      </c>
      <c r="F15" s="1237" t="s">
        <v>1670</v>
      </c>
      <c r="G15" s="1239" t="str">
        <f>G3</f>
        <v>估价对象位于XX开发区，园区建设成熟度XX，产业集聚程度XX</v>
      </c>
    </row>
    <row r="16" spans="1:18" ht="40.5">
      <c r="A16" s="2552"/>
      <c r="B16" s="1240" t="s">
        <v>1664</v>
      </c>
      <c r="C16" s="1241" t="str">
        <f>C4</f>
        <v>估价对象位于XX商圈，周边商业氛围成熟，人流量大，商业繁华度好</v>
      </c>
      <c r="D16" s="1993"/>
      <c r="E16" s="2549"/>
      <c r="F16" s="1242" t="s">
        <v>1665</v>
      </c>
      <c r="G16" s="1004" t="str">
        <f>G4</f>
        <v>估价对象周边道路状况、公共交通通达情况、停车便捷程度，综合评价交通便捷度较好</v>
      </c>
    </row>
    <row r="17" spans="1:7" ht="40.5">
      <c r="A17" s="2552"/>
      <c r="B17" s="1240" t="s">
        <v>1666</v>
      </c>
      <c r="C17" s="1241" t="str">
        <f>C5</f>
        <v>估价对象位于XX商圈，周边办公楼项目较多，入驻率高，办公集聚程度较好</v>
      </c>
      <c r="D17" s="1994"/>
      <c r="E17" s="2549"/>
      <c r="F17" s="1242" t="s">
        <v>1671</v>
      </c>
      <c r="G17" s="2749"/>
    </row>
    <row r="18" spans="1:7" ht="54">
      <c r="A18" s="2552"/>
      <c r="B18" s="1242" t="s">
        <v>1652</v>
      </c>
      <c r="C18" s="1004" t="str">
        <f>C6</f>
        <v>估价对象周边道路状况、公共交通通达情况、停车便捷程度，综合评价交通便捷度较好</v>
      </c>
      <c r="D18" s="1994"/>
      <c r="E18" s="2549"/>
      <c r="F18" s="1242" t="s">
        <v>1667</v>
      </c>
      <c r="G18" s="1004" t="str">
        <f>G7</f>
        <v>该园区内是否有污染型企业，绿化情况，卫生条件，整体环境状况判断</v>
      </c>
    </row>
    <row r="19" spans="1:7" ht="27">
      <c r="A19" s="2552"/>
      <c r="B19" s="1242" t="s">
        <v>1656</v>
      </c>
      <c r="C19" s="2749"/>
      <c r="D19" s="1993"/>
      <c r="E19" s="2549"/>
      <c r="F19" s="1226" t="s">
        <v>2543</v>
      </c>
      <c r="G19" s="1004" t="str">
        <f>G5</f>
        <v>估价对象所在区域公共配套设施齐备情况</v>
      </c>
    </row>
    <row r="20" spans="1:7" ht="40.5">
      <c r="A20" s="2552"/>
      <c r="B20" s="1242" t="s">
        <v>1657</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1658</v>
      </c>
      <c r="G21" s="3038"/>
    </row>
    <row r="22" spans="1:7" ht="27">
      <c r="A22" s="2552"/>
      <c r="B22" s="1226" t="s">
        <v>2544</v>
      </c>
      <c r="C22" s="1004" t="str">
        <f>C8</f>
        <v>估价对象所在区域基础设施水平</v>
      </c>
      <c r="D22" s="1993"/>
      <c r="E22" s="2549"/>
      <c r="F22" s="1242" t="s">
        <v>1668</v>
      </c>
      <c r="G22" s="2749"/>
    </row>
    <row r="23" spans="1:7" ht="15" thickBot="1">
      <c r="A23" s="2552"/>
      <c r="B23" s="1242" t="s">
        <v>1658</v>
      </c>
      <c r="C23" s="3038"/>
      <c r="E23" s="2550"/>
      <c r="F23" s="1243" t="s">
        <v>1672</v>
      </c>
      <c r="G23" s="3039"/>
    </row>
    <row r="24" spans="1:7" ht="14.25" thickBot="1">
      <c r="A24" s="2553"/>
      <c r="B24" s="1243" t="s">
        <v>1659</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2996" t="s">
        <v>2840</v>
      </c>
      <c r="B1" s="2996">
        <f>SUM(B14:B23)</f>
        <v>4100</v>
      </c>
      <c r="C1" s="2997"/>
      <c r="D1" s="2997"/>
      <c r="E1" s="2997"/>
      <c r="F1" s="2997"/>
    </row>
    <row r="2" spans="1:9" ht="16.5">
      <c r="A2" s="2996" t="s">
        <v>2841</v>
      </c>
      <c r="B2" s="2996">
        <f>SUM(C14:C23)</f>
        <v>40700</v>
      </c>
      <c r="C2" s="2997"/>
      <c r="D2" s="2997"/>
      <c r="E2" s="2997"/>
      <c r="F2" s="2997"/>
    </row>
    <row r="3" spans="1:9" ht="16.5">
      <c r="A3" s="2996" t="s">
        <v>2842</v>
      </c>
      <c r="B3" s="2998">
        <f>项目基本情况!D3</f>
        <v>43700</v>
      </c>
      <c r="C3" s="2997"/>
      <c r="D3" s="2997"/>
      <c r="E3" s="2997"/>
      <c r="F3" s="2997"/>
    </row>
    <row r="4" spans="1:9" ht="33">
      <c r="A4" s="2996" t="s">
        <v>2843</v>
      </c>
      <c r="B4" s="2996" t="s">
        <v>2844</v>
      </c>
      <c r="C4" s="2996" t="s">
        <v>2845</v>
      </c>
      <c r="D4" s="2996" t="s">
        <v>2846</v>
      </c>
      <c r="E4" s="2997"/>
      <c r="F4" s="2997"/>
    </row>
    <row r="5" spans="1:9" ht="16.5">
      <c r="A5" s="2996" t="s">
        <v>2847</v>
      </c>
      <c r="B5" s="2996">
        <f ca="1">SUM(D14:D23)</f>
        <v>2083</v>
      </c>
      <c r="C5" s="2996">
        <f ca="1">ROUND(B5*10000/$B$1,0)</f>
        <v>5080</v>
      </c>
      <c r="D5" s="2996">
        <f ca="1">ROUND(B5*10000/$B$2,0)</f>
        <v>512</v>
      </c>
      <c r="E5" s="2997"/>
      <c r="F5" s="2997"/>
    </row>
    <row r="6" spans="1:9" ht="16.5">
      <c r="A6" s="2996" t="s">
        <v>2848</v>
      </c>
      <c r="B6" s="2996">
        <f>SUM(G14:G23)</f>
        <v>0</v>
      </c>
      <c r="C6" s="2996">
        <f t="shared" ref="C6:C8" si="0">ROUND(B6*10000/$B$1,0)</f>
        <v>0</v>
      </c>
      <c r="D6" s="2996">
        <f t="shared" ref="D6:D8" si="1">ROUND(B6*10000/$B$2,0)</f>
        <v>0</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4100</v>
      </c>
      <c r="C14" s="3000">
        <f>结果表!K38</f>
        <v>40700</v>
      </c>
      <c r="D14" s="3000">
        <f ca="1">结果表!C42</f>
        <v>2083</v>
      </c>
      <c r="E14" s="3000">
        <f ca="1">ROUND(D14*10000/B14,0)</f>
        <v>5080</v>
      </c>
      <c r="F14" s="3000">
        <f ca="1">ROUND(D14*10000/C14,0)</f>
        <v>512</v>
      </c>
      <c r="G14" s="3000" t="str">
        <f>结果表!C44</f>
        <v>——</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6" zoomScaleNormal="100" zoomScaleSheetLayoutView="100" zoomScalePageLayoutView="80" workbookViewId="0">
      <selection activeCell="D8" sqref="D8:D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2052</v>
      </c>
      <c r="B1" s="1761"/>
      <c r="C1" s="1789" t="s">
        <v>2053</v>
      </c>
      <c r="D1" s="1790"/>
      <c r="E1" s="1789" t="s">
        <v>2054</v>
      </c>
      <c r="F1" s="1791"/>
      <c r="G1" s="310"/>
      <c r="H1" s="310"/>
      <c r="I1" s="310"/>
      <c r="J1" s="2013"/>
      <c r="K1" s="2013"/>
      <c r="L1" s="2013"/>
      <c r="M1" s="2013"/>
      <c r="N1" s="2013"/>
      <c r="O1" s="2013"/>
      <c r="P1" s="2013"/>
      <c r="Q1" s="2013"/>
      <c r="R1" s="2013"/>
      <c r="S1" s="2013"/>
      <c r="T1" s="2013"/>
      <c r="U1" s="2013"/>
      <c r="V1" s="2013"/>
    </row>
    <row r="2" spans="1:22" ht="21.75" customHeight="1" thickBot="1">
      <c r="A2" s="3386" t="str">
        <f>项目基本情况!K2</f>
        <v>房山区青龙湖镇坨里村出让国有建设用地使用权</v>
      </c>
      <c r="B2" s="3387"/>
      <c r="C2" s="3388"/>
      <c r="D2" s="3388"/>
      <c r="E2" s="3388"/>
      <c r="F2" s="3388"/>
      <c r="G2" s="3387"/>
      <c r="H2" s="3387"/>
      <c r="I2" s="3389"/>
      <c r="J2" s="2014"/>
      <c r="K2" s="2013"/>
      <c r="L2" s="2013"/>
      <c r="M2" s="2013"/>
      <c r="N2" s="2013"/>
      <c r="O2" s="2013"/>
      <c r="P2" s="2013"/>
      <c r="Q2" s="2013"/>
      <c r="R2" s="2013"/>
      <c r="S2" s="2013"/>
      <c r="T2" s="2013"/>
      <c r="U2" s="2013"/>
      <c r="V2" s="2013"/>
    </row>
    <row r="3" spans="1:22" ht="14.25">
      <c r="A3" s="3397" t="s">
        <v>295</v>
      </c>
      <c r="B3" s="3398"/>
      <c r="C3" s="3398"/>
      <c r="D3" s="3398"/>
      <c r="E3" s="3398"/>
      <c r="F3" s="3398"/>
      <c r="G3" s="3398"/>
      <c r="H3" s="3398"/>
      <c r="I3" s="3398"/>
      <c r="J3" s="2014"/>
      <c r="K3" s="2013"/>
      <c r="L3" s="2013"/>
      <c r="M3" s="2013"/>
      <c r="N3" s="2013"/>
      <c r="O3" s="2013"/>
      <c r="P3" s="2013"/>
      <c r="Q3" s="2013"/>
      <c r="R3" s="2013"/>
      <c r="S3" s="2013"/>
      <c r="T3" s="2013"/>
      <c r="U3" s="2013"/>
      <c r="V3" s="2013"/>
    </row>
    <row r="4" spans="1:22" ht="14.25">
      <c r="A4" s="257" t="s">
        <v>296</v>
      </c>
      <c r="B4" s="258" t="s">
        <v>297</v>
      </c>
      <c r="C4" s="259" t="s">
        <v>3260</v>
      </c>
      <c r="D4" s="259" t="s">
        <v>3257</v>
      </c>
      <c r="E4" s="3361" t="s">
        <v>298</v>
      </c>
      <c r="F4" s="3403"/>
      <c r="G4" s="3403"/>
      <c r="H4" s="3403"/>
      <c r="I4" s="3362"/>
      <c r="J4" s="2014"/>
      <c r="K4" s="2013"/>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90" t="s">
        <v>299</v>
      </c>
      <c r="B5" s="3391">
        <v>25</v>
      </c>
      <c r="C5" s="3399">
        <v>3</v>
      </c>
      <c r="D5" s="3402">
        <v>7</v>
      </c>
      <c r="E5" s="260" t="s">
        <v>300</v>
      </c>
      <c r="F5" s="261"/>
      <c r="G5" s="261"/>
      <c r="H5" s="261"/>
      <c r="I5" s="262"/>
      <c r="J5" s="2014"/>
      <c r="K5" s="2013"/>
      <c r="L5" s="2013"/>
      <c r="M5" s="2013"/>
      <c r="N5" s="2013"/>
      <c r="O5" s="2013"/>
      <c r="P5" s="2013"/>
      <c r="Q5" s="2013"/>
      <c r="R5" s="2013"/>
      <c r="S5" s="2013"/>
      <c r="T5" s="2013"/>
      <c r="U5" s="2013"/>
      <c r="V5" s="2013"/>
    </row>
    <row r="6" spans="1:22" ht="14.25">
      <c r="A6" s="3390"/>
      <c r="B6" s="3391"/>
      <c r="C6" s="3400"/>
      <c r="D6" s="3402"/>
      <c r="E6" s="260" t="s">
        <v>301</v>
      </c>
      <c r="F6" s="261"/>
      <c r="G6" s="261"/>
      <c r="H6" s="261"/>
      <c r="I6" s="262"/>
      <c r="J6" s="2014"/>
      <c r="K6" s="2013"/>
      <c r="L6" s="2013"/>
      <c r="M6" s="2013"/>
      <c r="N6" s="2013"/>
      <c r="O6" s="2013"/>
      <c r="P6" s="2013"/>
      <c r="Q6" s="2013"/>
      <c r="R6" s="2013"/>
      <c r="S6" s="2013"/>
      <c r="T6" s="2013"/>
      <c r="U6" s="2013"/>
      <c r="V6" s="2013"/>
    </row>
    <row r="7" spans="1:22" ht="14.25">
      <c r="A7" s="3390"/>
      <c r="B7" s="3391"/>
      <c r="C7" s="3401"/>
      <c r="D7" s="3402"/>
      <c r="E7" s="260" t="s">
        <v>302</v>
      </c>
      <c r="F7" s="261"/>
      <c r="G7" s="261"/>
      <c r="H7" s="261"/>
      <c r="I7" s="262"/>
      <c r="J7" s="2014"/>
      <c r="K7" s="2013"/>
      <c r="L7" s="2013"/>
      <c r="M7" s="2013"/>
      <c r="N7" s="2013"/>
      <c r="O7" s="2013"/>
      <c r="P7" s="2013"/>
      <c r="Q7" s="2013"/>
      <c r="R7" s="2013"/>
      <c r="S7" s="2013"/>
      <c r="T7" s="2013"/>
      <c r="U7" s="2013"/>
      <c r="V7" s="2013"/>
    </row>
    <row r="8" spans="1:22" ht="14.25">
      <c r="A8" s="3390" t="s">
        <v>303</v>
      </c>
      <c r="B8" s="3391">
        <v>15</v>
      </c>
      <c r="C8" s="3399"/>
      <c r="D8" s="3402"/>
      <c r="E8" s="260" t="s">
        <v>304</v>
      </c>
      <c r="F8" s="261"/>
      <c r="G8" s="261"/>
      <c r="H8" s="261"/>
      <c r="I8" s="262"/>
      <c r="J8" s="2014"/>
      <c r="K8" s="2013"/>
      <c r="L8" s="2013"/>
      <c r="M8" s="2013"/>
      <c r="N8" s="2013"/>
      <c r="O8" s="2013"/>
      <c r="P8" s="2013"/>
      <c r="Q8" s="2013"/>
      <c r="R8" s="2013"/>
      <c r="S8" s="2013"/>
      <c r="T8" s="2013"/>
      <c r="U8" s="2013"/>
      <c r="V8" s="2013"/>
    </row>
    <row r="9" spans="1:22" ht="14.25">
      <c r="A9" s="3390"/>
      <c r="B9" s="3391"/>
      <c r="C9" s="3401"/>
      <c r="D9" s="3402"/>
      <c r="E9" s="260" t="s">
        <v>305</v>
      </c>
      <c r="F9" s="261"/>
      <c r="G9" s="261"/>
      <c r="H9" s="261"/>
      <c r="I9" s="262"/>
      <c r="J9" s="2014"/>
      <c r="K9" s="2013"/>
      <c r="L9" s="2013"/>
      <c r="M9" s="2013"/>
      <c r="N9" s="2013"/>
      <c r="O9" s="2013"/>
      <c r="P9" s="2013"/>
      <c r="Q9" s="2013"/>
      <c r="R9" s="2013"/>
      <c r="S9" s="2013"/>
      <c r="T9" s="2013"/>
      <c r="U9" s="2013"/>
      <c r="V9" s="2013"/>
    </row>
    <row r="10" spans="1:22" ht="14.25">
      <c r="A10" s="3390" t="s">
        <v>306</v>
      </c>
      <c r="B10" s="3391">
        <v>15</v>
      </c>
      <c r="C10" s="3399"/>
      <c r="D10" s="3402"/>
      <c r="E10" s="260" t="s">
        <v>307</v>
      </c>
      <c r="F10" s="261"/>
      <c r="G10" s="261"/>
      <c r="H10" s="261"/>
      <c r="I10" s="262"/>
      <c r="J10" s="2014"/>
      <c r="K10" s="2013"/>
      <c r="L10" s="2013"/>
      <c r="M10" s="2013"/>
      <c r="N10" s="2013"/>
      <c r="O10" s="2013"/>
      <c r="P10" s="2013"/>
      <c r="Q10" s="2013"/>
      <c r="R10" s="2013"/>
      <c r="S10" s="2013"/>
      <c r="T10" s="2013"/>
      <c r="U10" s="2013"/>
      <c r="V10" s="2013"/>
    </row>
    <row r="11" spans="1:22" ht="14.25">
      <c r="A11" s="3390"/>
      <c r="B11" s="3391"/>
      <c r="C11" s="3401"/>
      <c r="D11" s="3402"/>
      <c r="E11" s="260" t="s">
        <v>308</v>
      </c>
      <c r="F11" s="261"/>
      <c r="G11" s="261"/>
      <c r="H11" s="261"/>
      <c r="I11" s="262"/>
      <c r="J11" s="2014"/>
      <c r="K11" s="2013"/>
      <c r="L11" s="2013"/>
      <c r="M11" s="2013"/>
      <c r="N11" s="2013"/>
      <c r="O11" s="2013"/>
      <c r="P11" s="2013"/>
      <c r="Q11" s="2013"/>
      <c r="R11" s="2013"/>
      <c r="S11" s="2013"/>
      <c r="T11" s="2013"/>
      <c r="U11" s="2013"/>
      <c r="V11" s="2013"/>
    </row>
    <row r="12" spans="1:22" ht="14.25">
      <c r="A12" s="3390" t="s">
        <v>309</v>
      </c>
      <c r="B12" s="3391">
        <v>15</v>
      </c>
      <c r="C12" s="3399"/>
      <c r="D12" s="3402"/>
      <c r="E12" s="260" t="s">
        <v>310</v>
      </c>
      <c r="F12" s="261"/>
      <c r="G12" s="261"/>
      <c r="H12" s="261"/>
      <c r="I12" s="262"/>
      <c r="J12" s="2014"/>
      <c r="K12" s="2013"/>
      <c r="L12" s="2013"/>
      <c r="M12" s="2013"/>
      <c r="N12" s="2013"/>
      <c r="O12" s="2013"/>
      <c r="P12" s="2013"/>
      <c r="Q12" s="2013"/>
      <c r="R12" s="2013"/>
      <c r="S12" s="2013"/>
      <c r="T12" s="2013"/>
      <c r="U12" s="2013"/>
      <c r="V12" s="2013"/>
    </row>
    <row r="13" spans="1:22" ht="14.25">
      <c r="A13" s="3390"/>
      <c r="B13" s="3391"/>
      <c r="C13" s="3401"/>
      <c r="D13" s="3402"/>
      <c r="E13" s="260" t="s">
        <v>311</v>
      </c>
      <c r="F13" s="261"/>
      <c r="G13" s="261"/>
      <c r="H13" s="261"/>
      <c r="I13" s="262"/>
      <c r="J13" s="2014"/>
      <c r="K13" s="2013"/>
      <c r="L13" s="2013"/>
      <c r="M13" s="2013"/>
      <c r="N13" s="2013"/>
      <c r="O13" s="2013"/>
      <c r="P13" s="2013"/>
      <c r="Q13" s="2013"/>
      <c r="R13" s="2013"/>
      <c r="S13" s="2013"/>
      <c r="T13" s="2013"/>
      <c r="U13" s="2013"/>
      <c r="V13" s="2013"/>
    </row>
    <row r="14" spans="1:22" ht="14.25">
      <c r="A14" s="3390" t="s">
        <v>312</v>
      </c>
      <c r="B14" s="3391">
        <v>30</v>
      </c>
      <c r="C14" s="3399"/>
      <c r="D14" s="3402"/>
      <c r="E14" s="260" t="s">
        <v>313</v>
      </c>
      <c r="F14" s="261"/>
      <c r="G14" s="261"/>
      <c r="H14" s="261"/>
      <c r="I14" s="262"/>
      <c r="J14" s="2014"/>
      <c r="K14" s="2013"/>
      <c r="L14" s="2013"/>
      <c r="M14" s="2013"/>
      <c r="N14" s="2013"/>
      <c r="O14" s="2013"/>
      <c r="P14" s="2013"/>
      <c r="Q14" s="2013"/>
      <c r="R14" s="2013"/>
      <c r="S14" s="2013"/>
      <c r="T14" s="2013"/>
      <c r="U14" s="2013"/>
      <c r="V14" s="2013"/>
    </row>
    <row r="15" spans="1:22" ht="14.25">
      <c r="A15" s="3390"/>
      <c r="B15" s="3391"/>
      <c r="C15" s="3400"/>
      <c r="D15" s="3402"/>
      <c r="E15" s="260" t="s">
        <v>314</v>
      </c>
      <c r="F15" s="261"/>
      <c r="G15" s="261"/>
      <c r="H15" s="261"/>
      <c r="I15" s="262"/>
      <c r="J15" s="2014"/>
      <c r="K15" s="2013"/>
      <c r="L15" s="2013"/>
      <c r="M15" s="2013"/>
      <c r="N15" s="2013"/>
      <c r="O15" s="2013"/>
      <c r="P15" s="2013"/>
      <c r="Q15" s="2013"/>
      <c r="R15" s="2013"/>
      <c r="S15" s="2013"/>
      <c r="T15" s="2013"/>
      <c r="U15" s="2013"/>
      <c r="V15" s="2013"/>
    </row>
    <row r="16" spans="1:22" ht="14.25">
      <c r="A16" s="3390"/>
      <c r="B16" s="3391"/>
      <c r="C16" s="3401"/>
      <c r="D16" s="3402"/>
      <c r="E16" s="260" t="s">
        <v>315</v>
      </c>
      <c r="F16" s="261"/>
      <c r="G16" s="261"/>
      <c r="H16" s="261"/>
      <c r="I16" s="262"/>
      <c r="J16" s="2014"/>
      <c r="K16" s="2013"/>
      <c r="L16" s="2013"/>
      <c r="M16" s="2013"/>
      <c r="N16" s="2013"/>
      <c r="O16" s="2013"/>
      <c r="P16" s="2013"/>
      <c r="Q16" s="2013"/>
      <c r="R16" s="2013"/>
      <c r="S16" s="2013"/>
      <c r="T16" s="2013"/>
      <c r="U16" s="2013"/>
      <c r="V16" s="2013"/>
    </row>
    <row r="17" spans="1:26" ht="15">
      <c r="A17" s="263" t="s">
        <v>316</v>
      </c>
      <c r="B17" s="144"/>
      <c r="C17" s="264">
        <f>SUM(C5:C16)</f>
        <v>3</v>
      </c>
      <c r="D17" s="264">
        <f>SUM(D5:D16)</f>
        <v>7</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317</v>
      </c>
      <c r="B18" s="105"/>
      <c r="C18" s="266">
        <f>ROUND(C17/SUM(C17:D17),2)</f>
        <v>0.3</v>
      </c>
      <c r="D18" s="266">
        <f>1-C18</f>
        <v>0.7</v>
      </c>
      <c r="E18" s="310"/>
      <c r="F18" s="310"/>
      <c r="G18" s="310"/>
      <c r="H18" s="310"/>
      <c r="I18" s="310"/>
      <c r="J18" s="2013"/>
      <c r="K18" s="2013"/>
      <c r="L18" s="2013"/>
      <c r="M18" s="2013"/>
      <c r="N18" s="2013"/>
      <c r="O18" s="2013"/>
      <c r="P18" s="2013"/>
      <c r="Q18" s="2013"/>
      <c r="R18" s="2013"/>
      <c r="S18" s="2013"/>
      <c r="T18" s="2013"/>
      <c r="U18" s="2013"/>
      <c r="V18" s="2013"/>
    </row>
    <row r="19" spans="1:26" ht="15">
      <c r="A19" s="267" t="s">
        <v>318</v>
      </c>
      <c r="B19" s="268" t="s">
        <v>319</v>
      </c>
      <c r="C19" s="269">
        <f ca="1">SUMIF(INDIRECT("'"&amp;C4&amp;"'"&amp;"!A:A"),结果表!B19,INDIRECT("'"&amp;C4&amp;"'"&amp;"!B:B"))</f>
        <v>2780</v>
      </c>
      <c r="D19" s="270">
        <f ca="1">SUMIF(INDIRECT("'"&amp;D4&amp;"'"&amp;"!A:A"),结果表!B19,INDIRECT("'"&amp;D4&amp;"'"&amp;"!B:B"))</f>
        <v>1784</v>
      </c>
      <c r="E19" s="267" t="s">
        <v>320</v>
      </c>
      <c r="F19" s="268" t="s">
        <v>319</v>
      </c>
      <c r="G19" s="271">
        <f ca="1">ROUND(C19*$C$18+D19*$D$18,0)</f>
        <v>2083</v>
      </c>
      <c r="H19" s="272" t="s">
        <v>321</v>
      </c>
      <c r="I19" s="310"/>
      <c r="J19" s="2013"/>
      <c r="K19" s="2013"/>
      <c r="L19" s="2013"/>
      <c r="M19" s="2013"/>
      <c r="N19" s="2013"/>
      <c r="O19" s="2013"/>
      <c r="P19" s="2013"/>
      <c r="Q19" s="2013"/>
      <c r="R19" s="2013"/>
      <c r="S19" s="2013"/>
      <c r="T19" s="2013"/>
      <c r="U19" s="2013"/>
      <c r="V19" s="2013"/>
    </row>
    <row r="20" spans="1:26" ht="15">
      <c r="A20" s="273"/>
      <c r="B20" s="274" t="s">
        <v>322</v>
      </c>
      <c r="C20" s="275">
        <f ca="1">SUMIF(INDIRECT("'"&amp;C4&amp;"'"&amp;"!A:A"),结果表!B20,INDIRECT("'"&amp;C4&amp;"'"&amp;"!B:B"))</f>
        <v>6780</v>
      </c>
      <c r="D20" s="276">
        <f ca="1">SUMIF(INDIRECT("'"&amp;D4&amp;"'"&amp;"!A:A"),结果表!B20,INDIRECT("'"&amp;D4&amp;"'"&amp;"!B:B"))</f>
        <v>4351</v>
      </c>
      <c r="E20" s="273"/>
      <c r="F20" s="274" t="s">
        <v>322</v>
      </c>
      <c r="G20" s="277">
        <f ca="1">ROUND(C20*$C$18+D20*$D$18,0)</f>
        <v>5080</v>
      </c>
      <c r="H20" s="278" t="s">
        <v>323</v>
      </c>
      <c r="I20" s="310"/>
      <c r="J20" s="2013"/>
      <c r="K20" s="2013"/>
      <c r="L20" s="2013"/>
      <c r="M20" s="2013"/>
      <c r="N20" s="2013"/>
      <c r="O20" s="2013"/>
      <c r="P20" s="2013"/>
      <c r="Q20" s="2013"/>
      <c r="R20" s="2013"/>
      <c r="S20" s="2013"/>
      <c r="T20" s="2013"/>
      <c r="U20" s="2013"/>
      <c r="V20" s="2013"/>
    </row>
    <row r="21" spans="1:26" ht="15" customHeight="1">
      <c r="A21" s="273"/>
      <c r="B21" s="279" t="s">
        <v>324</v>
      </c>
      <c r="C21" s="280">
        <f ca="1">SUMIF(INDIRECT("'"&amp;C4&amp;"'"&amp;"!A:A"),结果表!B21,INDIRECT("'"&amp;C4&amp;"'"&amp;"!B:B"))</f>
        <v>683</v>
      </c>
      <c r="D21" s="151">
        <f ca="1">SUMIF(INDIRECT("'"&amp;D4&amp;"'"&amp;"!A:A"),结果表!B21,INDIRECT("'"&amp;D4&amp;"'"&amp;"!B:B"))</f>
        <v>438</v>
      </c>
      <c r="E21" s="273"/>
      <c r="F21" s="279" t="s">
        <v>324</v>
      </c>
      <c r="G21" s="281">
        <f ca="1">ROUND(C21*$C$18+D21*$D$18,0)</f>
        <v>512</v>
      </c>
      <c r="H21" s="1246" t="s">
        <v>323</v>
      </c>
      <c r="I21" s="310"/>
      <c r="J21" s="2013"/>
      <c r="K21" s="2013"/>
      <c r="L21" s="2013"/>
      <c r="M21" s="2013"/>
      <c r="N21" s="2013"/>
      <c r="O21" s="2013"/>
      <c r="P21" s="2013"/>
      <c r="Q21" s="2013"/>
      <c r="R21" s="2013"/>
      <c r="S21" s="2013"/>
      <c r="T21" s="2013"/>
      <c r="U21" s="2013"/>
      <c r="V21" s="2013"/>
    </row>
    <row r="22" spans="1:26" ht="15.75" thickBot="1">
      <c r="A22" s="126" t="s">
        <v>325</v>
      </c>
      <c r="B22" s="1247"/>
      <c r="C22" s="1248"/>
      <c r="D22" s="282">
        <f ca="1">IF(C19&lt;D19,D19/C19-1,C19/D19-1)</f>
        <v>0.55829596412556048</v>
      </c>
      <c r="E22" s="283"/>
      <c r="F22" s="284"/>
      <c r="G22" s="285">
        <f ca="1">ROUND(G19/('数据-汇总表'!D3/666.67),0)</f>
        <v>34</v>
      </c>
      <c r="H22" s="286" t="s">
        <v>326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63" t="s">
        <v>327</v>
      </c>
      <c r="B24" s="268" t="s">
        <v>319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405"/>
      <c r="B25" s="1316" t="s">
        <v>328</v>
      </c>
      <c r="C25" s="289">
        <f>IF(B30=0,0,C30)</f>
        <v>0</v>
      </c>
      <c r="D25" s="290"/>
      <c r="E25" s="310"/>
      <c r="F25" s="310"/>
      <c r="G25" s="310"/>
      <c r="H25" s="310"/>
      <c r="I25" s="310"/>
      <c r="J25" s="2013"/>
      <c r="K25" s="1250" t="str">
        <f ca="1">项目基本情况!B16&amp;"国有建设用地使用权价格："&amp;O38&amp;"万元"</f>
        <v>出让国有建设用地使用权价格：2083万元</v>
      </c>
      <c r="L25" s="1251"/>
      <c r="M25" s="1251"/>
      <c r="N25" s="1251"/>
      <c r="O25" s="1252"/>
      <c r="P25" s="2013"/>
      <c r="Q25" s="2013"/>
      <c r="R25" s="2013"/>
      <c r="S25" s="2013"/>
      <c r="T25" s="2013"/>
      <c r="U25" s="2013"/>
      <c r="V25" s="2013"/>
    </row>
    <row r="26" spans="1:26" s="1249" customFormat="1" ht="18">
      <c r="A26" s="292" t="s">
        <v>329</v>
      </c>
      <c r="B26" s="293" t="s">
        <v>330</v>
      </c>
      <c r="C26" s="293" t="s">
        <v>331</v>
      </c>
      <c r="D26" s="294" t="s">
        <v>332</v>
      </c>
      <c r="E26" s="310"/>
      <c r="F26" s="310"/>
      <c r="G26" s="310"/>
      <c r="H26" s="310"/>
      <c r="I26" s="310"/>
      <c r="J26" s="2013"/>
      <c r="K26" s="1253" t="str">
        <f ca="1">"大写金额：人民币"&amp;NUMBERSTRING(INT(O38*10000),2)&amp;"元整"</f>
        <v>大写金额：人民币贰仟零捌拾叁万元整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单位面积地价：512元/平方米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楼面地价：5080元/平方米</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1" t="s">
        <v>333</v>
      </c>
      <c r="B30" s="308"/>
      <c r="C30" s="308"/>
      <c r="D30" s="309"/>
      <c r="E30" s="3082" t="s">
        <v>2964</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334</v>
      </c>
      <c r="B32" s="1377" t="s">
        <v>1685</v>
      </c>
      <c r="C32" s="1378">
        <f ca="1">G19-C24</f>
        <v>2083</v>
      </c>
      <c r="D32" s="1379" t="s">
        <v>1686</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337</v>
      </c>
      <c r="B33" s="1380" t="s">
        <v>1687</v>
      </c>
      <c r="C33" s="263">
        <f ca="1">ROUND(C32*10000/'数据-汇总表'!E3,0)</f>
        <v>5080</v>
      </c>
      <c r="D33" s="1381" t="s">
        <v>1688</v>
      </c>
      <c r="E33" s="3363" t="s">
        <v>335</v>
      </c>
      <c r="F33" s="295" t="s">
        <v>336</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1689</v>
      </c>
      <c r="C34" s="263">
        <f ca="1">ROUND(C32*10000/'数据-汇总表'!D3,0)</f>
        <v>512</v>
      </c>
      <c r="D34" s="1383" t="s">
        <v>1688</v>
      </c>
      <c r="E34" s="3364"/>
      <c r="F34" s="127" t="s">
        <v>338</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34</v>
      </c>
      <c r="D35" s="1386" t="s">
        <v>1690</v>
      </c>
      <c r="E35" s="3365"/>
      <c r="F35" s="300" t="s">
        <v>339</v>
      </c>
      <c r="G35" s="981"/>
      <c r="H35" s="980" t="s">
        <v>340</v>
      </c>
      <c r="I35" s="310"/>
      <c r="J35" s="2013"/>
      <c r="K35" s="3369" t="s">
        <v>347</v>
      </c>
      <c r="L35" s="3369" t="s">
        <v>348</v>
      </c>
      <c r="M35" s="1259" t="s">
        <v>349</v>
      </c>
      <c r="N35" s="3369" t="s">
        <v>350</v>
      </c>
      <c r="O35" s="3369" t="s">
        <v>351</v>
      </c>
      <c r="P35" s="2013"/>
      <c r="V35" s="2013"/>
    </row>
    <row r="36" spans="1:26" ht="16.5" customHeight="1">
      <c r="A36" s="302" t="s">
        <v>341</v>
      </c>
      <c r="B36" s="303" t="s">
        <v>330</v>
      </c>
      <c r="C36" s="304" t="s">
        <v>342</v>
      </c>
      <c r="D36" s="304" t="s">
        <v>343</v>
      </c>
      <c r="E36" s="305" t="s">
        <v>344</v>
      </c>
      <c r="F36" s="310"/>
      <c r="G36" s="310"/>
      <c r="H36" s="310"/>
      <c r="I36" s="310"/>
      <c r="J36" s="2015"/>
      <c r="K36" s="3370"/>
      <c r="L36" s="3370"/>
      <c r="M36" s="1261" t="s">
        <v>352</v>
      </c>
      <c r="N36" s="3370"/>
      <c r="O36" s="3370"/>
      <c r="P36" s="2013"/>
      <c r="V36" s="2013"/>
    </row>
    <row r="37" spans="1:26" ht="16.5" customHeight="1" thickBot="1">
      <c r="A37" s="1255" t="s">
        <v>345</v>
      </c>
      <c r="B37" s="306"/>
      <c r="C37" s="293"/>
      <c r="D37" s="293"/>
      <c r="E37" s="294"/>
      <c r="F37" s="310"/>
      <c r="G37" s="310"/>
      <c r="H37" s="310"/>
      <c r="I37" s="310"/>
      <c r="J37" s="2015"/>
      <c r="K37" s="3371"/>
      <c r="L37" s="3371"/>
      <c r="M37" s="1262"/>
      <c r="N37" s="3371"/>
      <c r="O37" s="3371"/>
      <c r="P37" s="2013"/>
      <c r="V37" s="2013"/>
    </row>
    <row r="38" spans="1:26" ht="16.5" customHeight="1" thickBot="1">
      <c r="A38" s="1255" t="s">
        <v>346</v>
      </c>
      <c r="B38" s="306"/>
      <c r="C38" s="293"/>
      <c r="D38" s="293"/>
      <c r="E38" s="294"/>
      <c r="F38" s="310"/>
      <c r="G38" s="310"/>
      <c r="H38" s="310"/>
      <c r="I38" s="310"/>
      <c r="J38" s="2015"/>
      <c r="K38" s="1263">
        <f>'数据-汇总表'!D3</f>
        <v>40700</v>
      </c>
      <c r="L38" s="1264">
        <f>'数据-汇总表'!E3</f>
        <v>4100</v>
      </c>
      <c r="M38" s="1264">
        <f ca="1">C34</f>
        <v>512</v>
      </c>
      <c r="N38" s="1264">
        <f ca="1">C33</f>
        <v>5080</v>
      </c>
      <c r="O38" s="1265">
        <f ca="1">C32</f>
        <v>2083</v>
      </c>
      <c r="P38" s="2013"/>
      <c r="V38" s="2013"/>
    </row>
    <row r="39" spans="1:26" ht="16.5" customHeight="1" thickBot="1">
      <c r="A39" s="1260"/>
      <c r="B39" s="307"/>
      <c r="C39" s="308"/>
      <c r="D39" s="308"/>
      <c r="E39" s="309"/>
      <c r="F39" s="310"/>
      <c r="G39" s="310"/>
      <c r="H39" s="310"/>
      <c r="I39" s="310"/>
      <c r="J39" s="2015"/>
      <c r="K39" s="3346" t="str">
        <f>MID(A44,3,LEN(A44)-2)</f>
        <v/>
      </c>
      <c r="L39" s="3347"/>
      <c r="M39" s="3347"/>
      <c r="N39" s="3348"/>
      <c r="O39" s="1388" t="str">
        <f>C44</f>
        <v>——</v>
      </c>
      <c r="P39" s="2013"/>
      <c r="V39" s="2013"/>
    </row>
    <row r="40" spans="1:26" ht="19.5" thickBot="1">
      <c r="A40" s="104" t="s">
        <v>870</v>
      </c>
      <c r="B40" s="310"/>
      <c r="C40" s="310"/>
      <c r="D40" s="310"/>
      <c r="E40" s="310"/>
      <c r="F40" s="310"/>
      <c r="G40" s="310"/>
      <c r="H40" s="310"/>
      <c r="I40" s="310"/>
      <c r="J40" s="2015"/>
      <c r="K40" s="3346" t="str">
        <f t="shared" ref="K40:K41" si="0">MID(A45,3,LEN(A45)-2)</f>
        <v/>
      </c>
      <c r="L40" s="3347"/>
      <c r="M40" s="3347"/>
      <c r="N40" s="3348"/>
      <c r="O40" s="1388" t="str">
        <f>C45</f>
        <v>——</v>
      </c>
      <c r="P40" s="2013"/>
      <c r="V40" s="2013"/>
    </row>
    <row r="41" spans="1:26" ht="16.5" thickBot="1">
      <c r="A41" s="311" t="s">
        <v>353</v>
      </c>
      <c r="B41" s="312"/>
      <c r="C41" s="313" t="s">
        <v>354</v>
      </c>
      <c r="D41" s="314" t="s">
        <v>355</v>
      </c>
      <c r="E41" s="314" t="s">
        <v>356</v>
      </c>
      <c r="F41" s="315" t="s">
        <v>357</v>
      </c>
      <c r="G41" s="310"/>
      <c r="H41" s="310"/>
      <c r="I41" s="310"/>
      <c r="J41" s="2015"/>
      <c r="K41" s="3346" t="str">
        <f t="shared" si="0"/>
        <v/>
      </c>
      <c r="L41" s="3347"/>
      <c r="M41" s="3347"/>
      <c r="N41" s="3348"/>
      <c r="O41" s="1388" t="str">
        <f>C46</f>
        <v>——</v>
      </c>
      <c r="P41" s="2013"/>
      <c r="V41" s="2013"/>
    </row>
    <row r="42" spans="1:26" ht="29.25">
      <c r="A42" s="3406" t="s">
        <v>2064</v>
      </c>
      <c r="B42" s="3407"/>
      <c r="C42" s="263">
        <f ca="1">C32</f>
        <v>2083</v>
      </c>
      <c r="D42" s="316">
        <f ca="1">C33</f>
        <v>5080</v>
      </c>
      <c r="E42" s="316">
        <f ca="1">C34</f>
        <v>512</v>
      </c>
      <c r="F42" s="317">
        <f ca="1">C35</f>
        <v>34</v>
      </c>
      <c r="G42" s="310"/>
      <c r="H42" s="310"/>
      <c r="I42" s="318"/>
      <c r="J42" s="2015"/>
      <c r="K42" s="1266" t="s">
        <v>358</v>
      </c>
      <c r="L42" s="2032" t="s">
        <v>359</v>
      </c>
      <c r="M42" s="1267" t="s">
        <v>360</v>
      </c>
      <c r="N42" s="2033" t="s">
        <v>361</v>
      </c>
      <c r="O42" s="2034" t="s">
        <v>362</v>
      </c>
      <c r="P42" s="2013"/>
      <c r="V42" s="2013"/>
    </row>
    <row r="43" spans="1:26" ht="30">
      <c r="A43" s="3416" t="s">
        <v>2727</v>
      </c>
      <c r="B43" s="3417"/>
      <c r="C43" s="263">
        <f>IF(H33="正常操作",G33+G34+G35,G34+G35)</f>
        <v>0</v>
      </c>
      <c r="D43" s="316" t="s">
        <v>43</v>
      </c>
      <c r="E43" s="316" t="s">
        <v>44</v>
      </c>
      <c r="F43" s="317" t="s">
        <v>44</v>
      </c>
      <c r="G43" s="2821" t="s">
        <v>949</v>
      </c>
      <c r="H43" s="310"/>
      <c r="I43" s="318"/>
      <c r="J43" s="2015"/>
      <c r="K43" s="1268" t="str">
        <f>C4</f>
        <v>基准地价（停车场0.3)</v>
      </c>
      <c r="L43" s="1269">
        <f ca="1">IF(L42="估价结果/万元",C19,C20)</f>
        <v>2780</v>
      </c>
      <c r="M43" s="1270">
        <f>C18</f>
        <v>0.3</v>
      </c>
      <c r="N43" s="1271">
        <f ca="1">IF(N42="测算结果/万元",G19,G20)</f>
        <v>2083</v>
      </c>
      <c r="O43" s="1272">
        <f ca="1">IF(O42="最终结果/万元",C32,C33)</f>
        <v>2083</v>
      </c>
      <c r="P43" s="2013"/>
      <c r="V43" s="2013"/>
    </row>
    <row r="44" spans="1:26" ht="18.75" thickBot="1">
      <c r="A44" s="3406" t="str">
        <f>IF(OR(项目基本情况!E8="抵押价格",项目基本情况!E8="已注销及未注销"),"3.抵押价格","——")</f>
        <v>——</v>
      </c>
      <c r="B44" s="3407"/>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成本逼近法</v>
      </c>
      <c r="L44" s="1274">
        <f ca="1">IF(L42="估价结果/万元",D19,D20)</f>
        <v>1784</v>
      </c>
      <c r="M44" s="1275">
        <f>D18</f>
        <v>0.7</v>
      </c>
      <c r="N44" s="1276"/>
      <c r="O44" s="1277"/>
      <c r="P44" s="2013"/>
      <c r="V44" s="2013"/>
    </row>
    <row r="45" spans="1:26" ht="15">
      <c r="A45" s="3411" t="str">
        <f>IF(项目基本情况!E8="已注销及未注销","4.抵押担保权已注销时的抵押价格",IF(项目基本情况!E8="已注销","3.抵押担保权已注销时的抵押价格","——"))</f>
        <v>——</v>
      </c>
      <c r="B45" s="3412"/>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408" t="str">
        <f>IF(项目基本情况!E9="抵押净值",IF(A45="——","4.抵押净值","5.抵押净值"),"——")</f>
        <v>——</v>
      </c>
      <c r="B46" s="3409"/>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363</v>
      </c>
      <c r="B47" s="1278"/>
      <c r="C47" s="321" t="s">
        <v>364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365</v>
      </c>
      <c r="G53" s="336"/>
      <c r="H53" s="336"/>
      <c r="I53" s="337" t="s">
        <v>366</v>
      </c>
      <c r="J53" s="2016"/>
      <c r="K53" s="2013"/>
      <c r="L53" s="2013"/>
      <c r="M53" s="2013"/>
      <c r="N53" s="2013"/>
      <c r="O53" s="2013"/>
      <c r="P53" s="2013"/>
      <c r="Q53" s="2013"/>
      <c r="R53" s="2013"/>
      <c r="S53" s="2013"/>
      <c r="T53" s="2013"/>
      <c r="U53" s="2013"/>
      <c r="V53" s="2013"/>
    </row>
    <row r="54" spans="1:22" ht="12.75">
      <c r="A54" s="256"/>
      <c r="B54" s="338" t="s">
        <v>367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368</v>
      </c>
      <c r="J56" s="2016"/>
      <c r="K56" s="2013"/>
      <c r="L56" s="2013"/>
      <c r="M56" s="2013"/>
      <c r="N56" s="2013"/>
      <c r="O56" s="2013"/>
      <c r="P56" s="2013"/>
      <c r="Q56" s="2013"/>
      <c r="R56" s="2013"/>
      <c r="S56" s="2013"/>
      <c r="T56" s="2013"/>
      <c r="U56" s="2013"/>
      <c r="V56" s="2013"/>
    </row>
    <row r="57" spans="1:22" ht="12.75">
      <c r="A57" s="256"/>
      <c r="B57" s="338" t="s">
        <v>369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368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74" t="s">
        <v>371</v>
      </c>
      <c r="B63" s="3375"/>
      <c r="C63" s="3376"/>
      <c r="D63" s="340">
        <f ca="1">ROUND(C42*F63,0)</f>
        <v>1250</v>
      </c>
      <c r="E63" s="301" t="s">
        <v>372</v>
      </c>
      <c r="F63" s="341">
        <v>0.6</v>
      </c>
      <c r="G63" s="342" t="s">
        <v>373</v>
      </c>
      <c r="H63" s="310"/>
      <c r="I63" s="310"/>
      <c r="J63" s="2013"/>
      <c r="K63" s="2013"/>
      <c r="L63" s="2013"/>
      <c r="M63" s="2013"/>
      <c r="N63" s="2013"/>
      <c r="O63" s="2013"/>
      <c r="P63" s="310"/>
      <c r="Q63" s="2013"/>
      <c r="R63" s="2013"/>
      <c r="S63" s="2013"/>
      <c r="T63" s="2013"/>
      <c r="U63" s="2013"/>
      <c r="V63" s="2013"/>
    </row>
    <row r="64" spans="1:22" ht="14.25" customHeight="1">
      <c r="A64" s="3413" t="s">
        <v>375</v>
      </c>
      <c r="B64" s="3414"/>
      <c r="C64" s="3414"/>
      <c r="D64" s="3414"/>
      <c r="E64" s="3414"/>
      <c r="F64" s="3414"/>
      <c r="G64" s="3415"/>
      <c r="H64" s="1283"/>
      <c r="I64" s="947"/>
      <c r="J64" s="1975"/>
      <c r="K64" s="1547" t="s">
        <v>374</v>
      </c>
      <c r="L64" s="11"/>
      <c r="M64" s="11"/>
      <c r="N64" s="11"/>
      <c r="O64" s="11"/>
      <c r="P64" s="310"/>
      <c r="Q64" s="2013"/>
      <c r="R64" s="2013"/>
      <c r="S64" s="2013"/>
      <c r="T64" s="2013"/>
      <c r="U64" s="2013"/>
      <c r="V64" s="2013"/>
    </row>
    <row r="65" spans="1:22" ht="12" customHeight="1">
      <c r="A65" s="343" t="s">
        <v>377</v>
      </c>
      <c r="B65" s="344"/>
      <c r="C65" s="345"/>
      <c r="D65" s="346" t="s">
        <v>378</v>
      </c>
      <c r="E65" s="53" t="s">
        <v>379</v>
      </c>
      <c r="F65" s="347" t="s">
        <v>380</v>
      </c>
      <c r="G65" s="348" t="s">
        <v>381</v>
      </c>
      <c r="H65" s="1283"/>
      <c r="I65" s="947"/>
      <c r="J65" s="1975"/>
      <c r="K65" s="1284"/>
      <c r="L65" s="1285"/>
      <c r="M65" s="1285"/>
      <c r="N65" s="1317" t="s">
        <v>376</v>
      </c>
      <c r="O65" s="1318"/>
      <c r="P65" s="1319"/>
      <c r="Q65" s="2013"/>
      <c r="R65" s="2013"/>
      <c r="S65" s="2013"/>
      <c r="T65" s="2013"/>
      <c r="U65" s="2013"/>
      <c r="V65" s="2013"/>
    </row>
    <row r="66" spans="1:22" ht="25.5">
      <c r="A66" s="3410" t="s">
        <v>383</v>
      </c>
      <c r="B66" s="3381"/>
      <c r="C66" s="3381"/>
      <c r="D66" s="260">
        <f ca="1">IF(H66="情况1",0,IF(H66="情况2",D70,IF(H66="情况3",D71,IF(H66="情况4",D72))))</f>
        <v>65</v>
      </c>
      <c r="E66" s="992" t="str">
        <f>IF(H66="情况4","(销售额-原购置价)×税（费）率","销售额×税（费）率")</f>
        <v>销售额×税（费）率</v>
      </c>
      <c r="F66" s="349">
        <f>IF(H66="情况1","免征",'数据-取费表'!B41)</f>
        <v>5.5000000000000007E-2</v>
      </c>
      <c r="G66" s="350" t="s">
        <v>384</v>
      </c>
      <c r="H66" s="191" t="s">
        <v>385</v>
      </c>
      <c r="I66" s="1283"/>
      <c r="J66" s="2019"/>
      <c r="K66" s="1286">
        <v>1</v>
      </c>
      <c r="L66" s="3350" t="s">
        <v>382</v>
      </c>
      <c r="M66" s="3351"/>
      <c r="N66" s="2422"/>
      <c r="O66" s="2423"/>
      <c r="P66" s="2424"/>
      <c r="Q66" s="2013"/>
      <c r="R66" s="2013"/>
      <c r="S66" s="2013"/>
      <c r="T66" s="2013"/>
      <c r="U66" s="2013"/>
      <c r="V66" s="2013"/>
    </row>
    <row r="67" spans="1:22" ht="25.5" customHeight="1">
      <c r="A67" s="351" t="s">
        <v>387</v>
      </c>
      <c r="B67" s="3393" t="s">
        <v>388</v>
      </c>
      <c r="C67" s="3393"/>
      <c r="D67" s="352">
        <v>0</v>
      </c>
      <c r="E67" s="41" t="s">
        <v>389</v>
      </c>
      <c r="F67" s="62" t="s">
        <v>21</v>
      </c>
      <c r="G67" s="3377"/>
      <c r="H67" s="310"/>
      <c r="I67" s="1287"/>
      <c r="J67" s="2020"/>
      <c r="K67" s="1961">
        <v>2</v>
      </c>
      <c r="L67" s="3349" t="s">
        <v>386</v>
      </c>
      <c r="M67" s="3349"/>
      <c r="N67" s="1320">
        <f>'数据-取费表'!B2</f>
        <v>43700</v>
      </c>
      <c r="O67" s="1320"/>
      <c r="P67" s="1320"/>
      <c r="Q67" s="2013"/>
      <c r="R67" s="2013"/>
      <c r="S67" s="2013"/>
      <c r="T67" s="2013"/>
      <c r="U67" s="2013"/>
      <c r="V67" s="2013"/>
    </row>
    <row r="68" spans="1:22" ht="25.5" customHeight="1">
      <c r="A68" s="353"/>
      <c r="B68" s="3393" t="s">
        <v>391</v>
      </c>
      <c r="C68" s="3393"/>
      <c r="D68" s="354"/>
      <c r="E68" s="77"/>
      <c r="F68" s="355"/>
      <c r="G68" s="3378"/>
      <c r="H68" s="310"/>
      <c r="I68" s="1287"/>
      <c r="J68" s="2020"/>
      <c r="K68" s="1961">
        <v>3</v>
      </c>
      <c r="L68" s="3349" t="s">
        <v>390</v>
      </c>
      <c r="M68" s="3349"/>
      <c r="N68" s="1288">
        <f ca="1">C42</f>
        <v>2083</v>
      </c>
      <c r="O68" s="1288"/>
      <c r="P68" s="1288"/>
      <c r="Q68" s="2013"/>
      <c r="R68" s="2013"/>
      <c r="S68" s="2013"/>
      <c r="T68" s="2013"/>
      <c r="U68" s="2013"/>
      <c r="V68" s="2013"/>
    </row>
    <row r="69" spans="1:22" ht="12" customHeight="1">
      <c r="A69" s="356"/>
      <c r="B69" s="3393" t="s">
        <v>392</v>
      </c>
      <c r="C69" s="3393"/>
      <c r="D69" s="357"/>
      <c r="E69" s="73"/>
      <c r="F69" s="355"/>
      <c r="G69" s="3379"/>
      <c r="H69" s="310"/>
      <c r="I69" s="1287"/>
      <c r="J69" s="2020"/>
      <c r="K69" s="1289">
        <v>4</v>
      </c>
      <c r="L69" s="3355" t="s">
        <v>2879</v>
      </c>
      <c r="M69" s="3356"/>
      <c r="N69" s="1290" t="str">
        <f>C44</f>
        <v>——</v>
      </c>
      <c r="O69" s="1290"/>
      <c r="P69" s="1290"/>
      <c r="Q69" s="2013"/>
      <c r="R69" s="2013"/>
      <c r="S69" s="2013"/>
      <c r="T69" s="2013"/>
      <c r="U69" s="2013"/>
      <c r="V69" s="2013"/>
    </row>
    <row r="70" spans="1:22" ht="24" customHeight="1">
      <c r="A70" s="358" t="s">
        <v>393</v>
      </c>
      <c r="B70" s="3393" t="s">
        <v>394</v>
      </c>
      <c r="C70" s="3393"/>
      <c r="D70" s="357">
        <f ca="1">ROUND(D63*'数据-取费表'!B41/(1+'数据-取费表'!C42),0)</f>
        <v>65</v>
      </c>
      <c r="E70" s="17" t="s">
        <v>395</v>
      </c>
      <c r="F70" s="359">
        <f>'数据-取费表'!B41</f>
        <v>5.5000000000000007E-2</v>
      </c>
      <c r="G70" s="360"/>
      <c r="H70" s="310"/>
      <c r="I70" s="1287"/>
      <c r="J70" s="2020"/>
      <c r="K70" s="3013"/>
      <c r="L70" s="3014"/>
      <c r="M70" s="3014"/>
      <c r="N70" s="3015" t="s">
        <v>2884</v>
      </c>
      <c r="O70" s="3014"/>
      <c r="P70" s="3016"/>
      <c r="Q70" s="2013"/>
      <c r="R70" s="2013"/>
      <c r="S70" s="2013"/>
      <c r="T70" s="2013"/>
      <c r="U70" s="2013"/>
      <c r="V70" s="2013"/>
    </row>
    <row r="71" spans="1:22" ht="12" customHeight="1">
      <c r="A71" s="358" t="s">
        <v>401</v>
      </c>
      <c r="B71" s="3392" t="s">
        <v>402</v>
      </c>
      <c r="C71" s="3404"/>
      <c r="D71" s="357">
        <f ca="1">ROUND(D63*'数据-取费表'!B41/(1+'数据-取费表'!C42),0)</f>
        <v>65</v>
      </c>
      <c r="E71" s="17" t="s">
        <v>395</v>
      </c>
      <c r="F71" s="359">
        <f>'数据-取费表'!B41</f>
        <v>5.5000000000000007E-2</v>
      </c>
      <c r="G71" s="360"/>
      <c r="H71" s="310"/>
      <c r="I71" s="1287"/>
      <c r="J71" s="2020"/>
      <c r="K71" s="3012" t="s">
        <v>396</v>
      </c>
      <c r="L71" s="3357" t="s">
        <v>397</v>
      </c>
      <c r="M71" s="3357"/>
      <c r="N71" s="3012" t="s">
        <v>398</v>
      </c>
      <c r="O71" s="3012" t="s">
        <v>399</v>
      </c>
      <c r="P71" s="3012" t="s">
        <v>400</v>
      </c>
      <c r="Q71" s="2013"/>
      <c r="R71" s="2013"/>
      <c r="S71" s="2013"/>
      <c r="T71" s="2013"/>
      <c r="U71" s="2013"/>
      <c r="V71" s="2013"/>
    </row>
    <row r="72" spans="1:22" ht="12" customHeight="1">
      <c r="A72" s="358" t="s">
        <v>404</v>
      </c>
      <c r="B72" s="3392" t="s">
        <v>405</v>
      </c>
      <c r="C72" s="3404"/>
      <c r="D72" s="357">
        <f ca="1">C86</f>
        <v>0</v>
      </c>
      <c r="E72" s="73" t="s">
        <v>406</v>
      </c>
      <c r="F72" s="359">
        <f>'数据-取费表'!B41</f>
        <v>5.5000000000000007E-2</v>
      </c>
      <c r="G72" s="360"/>
      <c r="H72" s="1293"/>
      <c r="I72" s="1287"/>
      <c r="J72" s="2020"/>
      <c r="K72" s="1961">
        <v>1</v>
      </c>
      <c r="L72" s="3354" t="s">
        <v>403</v>
      </c>
      <c r="M72" s="3354"/>
      <c r="N72" s="1291">
        <f ca="1">D66</f>
        <v>65</v>
      </c>
      <c r="O72" s="1844" t="str">
        <f>E66</f>
        <v>销售额×税（费）率</v>
      </c>
      <c r="P72" s="1292">
        <f>F66</f>
        <v>5.5000000000000007E-2</v>
      </c>
      <c r="Q72" s="2013"/>
      <c r="R72" s="2013"/>
      <c r="S72" s="2013"/>
      <c r="T72" s="2013"/>
      <c r="U72" s="2013"/>
      <c r="V72" s="2013"/>
    </row>
    <row r="73" spans="1:22" ht="24" customHeight="1">
      <c r="A73" s="3380" t="s">
        <v>408</v>
      </c>
      <c r="B73" s="3381"/>
      <c r="C73" s="3381"/>
      <c r="D73" s="361">
        <f>IF(H73="个人住宅",0,ROUND(D63*I73,0))</f>
        <v>0</v>
      </c>
      <c r="E73" s="17" t="s">
        <v>409</v>
      </c>
      <c r="F73" s="359" t="str">
        <f>IF(H73="正常",I73,"免征")</f>
        <v>免征</v>
      </c>
      <c r="G73" s="360"/>
      <c r="H73" s="191" t="s">
        <v>2452</v>
      </c>
      <c r="I73" s="359">
        <f>'数据-取费表'!B49</f>
        <v>5.0000000000000001E-4</v>
      </c>
      <c r="J73" s="2020"/>
      <c r="K73" s="1961">
        <v>2</v>
      </c>
      <c r="L73" s="3354" t="s">
        <v>407</v>
      </c>
      <c r="M73" s="3354"/>
      <c r="N73" s="1291">
        <f t="shared" ref="N73:P74" si="1">D73</f>
        <v>0</v>
      </c>
      <c r="O73" s="1844" t="str">
        <f t="shared" si="1"/>
        <v>销售额×税（费）率</v>
      </c>
      <c r="P73" s="1292" t="str">
        <f t="shared" si="1"/>
        <v>免征</v>
      </c>
      <c r="Q73" s="2013"/>
      <c r="R73" s="2013"/>
      <c r="S73" s="2013"/>
      <c r="T73" s="2013"/>
      <c r="U73" s="2013"/>
      <c r="V73" s="2013"/>
    </row>
    <row r="74" spans="1:22" ht="24.75">
      <c r="A74" s="3380" t="s">
        <v>412</v>
      </c>
      <c r="B74" s="3381"/>
      <c r="C74" s="3381"/>
      <c r="D74" s="361">
        <f ca="1">IF(H74="个人住宅",D75,D76)</f>
        <v>163</v>
      </c>
      <c r="E74" s="17" t="s">
        <v>413</v>
      </c>
      <c r="F74" s="359" t="str">
        <f>IF(H74="正常",F76,"免征")</f>
        <v>——</v>
      </c>
      <c r="G74" s="982" t="s">
        <v>414</v>
      </c>
      <c r="H74" s="362" t="s">
        <v>410</v>
      </c>
      <c r="I74" s="42"/>
      <c r="J74" s="2020"/>
      <c r="K74" s="1961">
        <v>3</v>
      </c>
      <c r="L74" s="3354" t="s">
        <v>411</v>
      </c>
      <c r="M74" s="3354"/>
      <c r="N74" s="1291">
        <f t="shared" ca="1" si="1"/>
        <v>163</v>
      </c>
      <c r="O74" s="1844" t="str">
        <f t="shared" si="1"/>
        <v>增值额×税（费）率</v>
      </c>
      <c r="P74" s="1294" t="str">
        <f t="shared" si="1"/>
        <v>——</v>
      </c>
      <c r="Q74" s="2013"/>
      <c r="R74" s="2013"/>
      <c r="S74" s="2013"/>
      <c r="T74" s="2013"/>
      <c r="U74" s="2013"/>
      <c r="V74" s="2013"/>
    </row>
    <row r="75" spans="1:22" ht="24">
      <c r="A75" s="358" t="s">
        <v>415</v>
      </c>
      <c r="B75" s="3361" t="s">
        <v>416</v>
      </c>
      <c r="C75" s="3362"/>
      <c r="D75" s="363">
        <v>0</v>
      </c>
      <c r="E75" s="41" t="s">
        <v>417</v>
      </c>
      <c r="F75" s="364"/>
      <c r="G75" s="360"/>
      <c r="H75" s="42"/>
      <c r="I75" s="42"/>
      <c r="J75" s="2020"/>
      <c r="K75" s="3005">
        <f>IF(H77="非个人房产","",4)</f>
        <v>4</v>
      </c>
      <c r="L75" s="3354" t="str">
        <f>IF(H77="非个人房产","——","个人所得税")</f>
        <v>个人所得税</v>
      </c>
      <c r="M75" s="3354"/>
      <c r="N75" s="1295">
        <f ca="1">D77</f>
        <v>13</v>
      </c>
      <c r="O75" s="1857" t="str">
        <f>E77</f>
        <v>销售额×税（费）率</v>
      </c>
      <c r="P75" s="1296">
        <f>F77</f>
        <v>0.01</v>
      </c>
      <c r="Q75" s="2013"/>
      <c r="R75" s="2013"/>
      <c r="S75" s="2013"/>
      <c r="T75" s="2013"/>
      <c r="U75" s="2013"/>
      <c r="V75" s="2013"/>
    </row>
    <row r="76" spans="1:22" ht="24.75">
      <c r="A76" s="358" t="s">
        <v>393</v>
      </c>
      <c r="B76" s="3361" t="s">
        <v>419</v>
      </c>
      <c r="C76" s="3403"/>
      <c r="D76" s="361">
        <f ca="1">IF(H76="转让取得",C99,C115)</f>
        <v>163</v>
      </c>
      <c r="E76" s="17" t="s">
        <v>420</v>
      </c>
      <c r="F76" s="53" t="s">
        <v>21</v>
      </c>
      <c r="G76" s="360"/>
      <c r="H76" s="362" t="s">
        <v>421</v>
      </c>
      <c r="I76" s="42"/>
      <c r="J76" s="2020"/>
      <c r="K76" s="3005" t="str">
        <f>IF(项目基本情况!K6="上海银行",IF(K75="",4,K75+1),"")</f>
        <v/>
      </c>
      <c r="L76" s="3342" t="str">
        <f>IF(项目基本情况!K6="上海银行","其他处置费用","")</f>
        <v/>
      </c>
      <c r="M76" s="3343"/>
      <c r="N76" s="1291" t="str">
        <f>IF(项目基本情况!K6="上海银行",N89,"")</f>
        <v/>
      </c>
      <c r="O76" s="3344" t="str">
        <f>IF(项目基本情况!K6="上海银行","包含处置中涉及的律师、诉讼、拍卖、评估等费用","")</f>
        <v/>
      </c>
      <c r="P76" s="3345"/>
      <c r="Q76" s="2013"/>
      <c r="R76" s="2013"/>
      <c r="S76" s="2013"/>
      <c r="T76" s="2013"/>
      <c r="U76" s="2013"/>
      <c r="V76" s="2013"/>
    </row>
    <row r="77" spans="1:22" ht="26.25" thickBot="1">
      <c r="A77" s="3372" t="s">
        <v>423</v>
      </c>
      <c r="B77" s="3373"/>
      <c r="C77" s="3373"/>
      <c r="D77" s="365">
        <f ca="1">IF(H77="非个人房产","——",IF(H77="个人住宅",0,ROUND(D63*I77,0)))</f>
        <v>13</v>
      </c>
      <c r="E77" s="366" t="str">
        <f>IF(H77="非个人房产","——","销售额×税（费）率")</f>
        <v>销售额×税（费）率</v>
      </c>
      <c r="F77" s="367">
        <f>IF(H77="非个人房产","——",IF(H77="个人住宅","免征",I77))</f>
        <v>0.01</v>
      </c>
      <c r="G77" s="983" t="s">
        <v>414</v>
      </c>
      <c r="H77" s="362" t="s">
        <v>2880</v>
      </c>
      <c r="I77" s="368">
        <v>0.01</v>
      </c>
      <c r="J77" s="2020"/>
      <c r="K77" s="3368">
        <f>IF(AND(K75="",K76=""),4,IF(项目基本情况!K6="上海银行",K76+1,K75+1))</f>
        <v>5</v>
      </c>
      <c r="L77" s="3354" t="s">
        <v>2881</v>
      </c>
      <c r="M77" s="3011" t="s">
        <v>418</v>
      </c>
      <c r="N77" s="1297"/>
      <c r="O77" s="1298">
        <f ca="1">SUMIF(N72:N76,"&lt;9e307")</f>
        <v>241</v>
      </c>
      <c r="P77" s="1299"/>
      <c r="Q77" s="3009" t="e">
        <f ca="1">O77/N69</f>
        <v>#VALUE!</v>
      </c>
      <c r="R77" s="2013"/>
      <c r="S77" s="2013"/>
      <c r="T77" s="2013"/>
      <c r="U77" s="2013"/>
      <c r="V77" s="2013"/>
    </row>
    <row r="78" spans="1:22" ht="12" customHeight="1">
      <c r="A78" s="1300"/>
      <c r="B78" s="310"/>
      <c r="C78" s="310"/>
      <c r="D78" s="310"/>
      <c r="E78" s="42"/>
      <c r="F78" s="42"/>
      <c r="G78" s="42"/>
      <c r="H78" s="1002"/>
      <c r="I78" s="310"/>
      <c r="J78" s="2020"/>
      <c r="K78" s="3368"/>
      <c r="L78" s="3354"/>
      <c r="M78" s="3011" t="s">
        <v>422</v>
      </c>
      <c r="N78" s="1297"/>
      <c r="O78" s="1298" t="str">
        <f ca="1">NUMBERSTRING(INT(O77*10000),2)&amp;"元整"</f>
        <v>贰佰肆拾壹万元整</v>
      </c>
      <c r="P78" s="1299"/>
      <c r="Q78" s="2013"/>
      <c r="R78" s="2013"/>
      <c r="S78" s="2013"/>
      <c r="T78" s="2013"/>
      <c r="U78" s="2013"/>
      <c r="V78" s="2013"/>
    </row>
    <row r="79" spans="1:22" ht="13.5" thickBot="1">
      <c r="A79" s="3358" t="s">
        <v>424</v>
      </c>
      <c r="B79" s="3358"/>
      <c r="C79" s="3358"/>
      <c r="D79" s="3358"/>
      <c r="E79" s="3358"/>
      <c r="F79" s="42"/>
      <c r="G79" s="42"/>
      <c r="H79" s="1002"/>
      <c r="I79" s="310"/>
      <c r="J79" s="2020"/>
      <c r="K79" s="3352">
        <f>K77+1</f>
        <v>6</v>
      </c>
      <c r="L79" s="3354" t="s">
        <v>2882</v>
      </c>
      <c r="M79" s="3011" t="s">
        <v>418</v>
      </c>
      <c r="N79" s="1297"/>
      <c r="O79" s="1298" t="e">
        <f ca="1">N69-O77</f>
        <v>#VALUE!</v>
      </c>
      <c r="P79" s="1299"/>
      <c r="Q79" s="2013"/>
      <c r="R79" s="2013"/>
      <c r="S79" s="2013"/>
      <c r="T79" s="2013"/>
      <c r="U79" s="2013"/>
      <c r="V79" s="2013"/>
    </row>
    <row r="80" spans="1:22" ht="12.75">
      <c r="A80" s="3359" t="s">
        <v>425</v>
      </c>
      <c r="B80" s="3360"/>
      <c r="C80" s="993"/>
      <c r="D80" s="993" t="s">
        <v>426</v>
      </c>
      <c r="E80" s="369" t="s">
        <v>427</v>
      </c>
      <c r="F80" s="42"/>
      <c r="G80" s="42"/>
      <c r="H80" s="1002"/>
      <c r="I80" s="310"/>
      <c r="J80" s="2013"/>
      <c r="K80" s="3353"/>
      <c r="L80" s="3354"/>
      <c r="M80" s="3011" t="s">
        <v>422</v>
      </c>
      <c r="N80" s="1297"/>
      <c r="O80" s="1298" t="e">
        <f ca="1">NUMBERSTRING(INT(O79*10000),2)&amp;"元整"</f>
        <v>#VALUE!</v>
      </c>
      <c r="P80" s="1299"/>
      <c r="Q80" s="2013"/>
      <c r="R80" s="2013"/>
      <c r="S80" s="2013"/>
      <c r="T80" s="2013"/>
      <c r="U80" s="2013"/>
      <c r="V80" s="2013"/>
    </row>
    <row r="81" spans="1:26" ht="13.5" thickBot="1">
      <c r="A81" s="380" t="s">
        <v>1820</v>
      </c>
      <c r="B81" s="370" t="s">
        <v>428</v>
      </c>
      <c r="C81" s="371">
        <f ca="1">ROUND((C82+C83)/(1+'数据-取费表'!C42),0)</f>
        <v>1190</v>
      </c>
      <c r="D81" s="372"/>
      <c r="E81" s="373"/>
      <c r="F81" s="42"/>
      <c r="G81" s="42"/>
      <c r="H81" s="1002"/>
      <c r="I81" s="310"/>
      <c r="J81" s="2013"/>
      <c r="K81" s="3005">
        <f>K79+1</f>
        <v>7</v>
      </c>
      <c r="L81" s="3366" t="s">
        <v>2883</v>
      </c>
      <c r="M81" s="3367"/>
      <c r="N81" s="1301"/>
      <c r="O81" s="1302" t="e">
        <f ca="1">ROUND(O79*10000/'数据-汇总表'!E3,0)</f>
        <v>#VALUE!</v>
      </c>
      <c r="P81" s="1303"/>
      <c r="Q81" s="2013"/>
      <c r="R81" s="2013"/>
      <c r="S81" s="2013"/>
      <c r="T81" s="2013"/>
      <c r="U81" s="2013"/>
      <c r="V81" s="2013"/>
    </row>
    <row r="82" spans="1:26" ht="13.5" thickTop="1">
      <c r="A82" s="374" t="s">
        <v>1821</v>
      </c>
      <c r="B82" s="375" t="s">
        <v>429</v>
      </c>
      <c r="C82" s="376">
        <f ca="1">D63</f>
        <v>1250</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1822</v>
      </c>
      <c r="B83" s="375" t="s">
        <v>430</v>
      </c>
      <c r="C83" s="379">
        <v>0</v>
      </c>
      <c r="D83" s="377"/>
      <c r="E83" s="378"/>
      <c r="F83" s="42"/>
      <c r="G83" s="42"/>
      <c r="H83" s="1002"/>
      <c r="I83" s="310"/>
      <c r="J83" s="2013"/>
      <c r="K83" s="3341" t="s">
        <v>2870</v>
      </c>
      <c r="L83" s="3017" t="s">
        <v>2871</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0" t="s">
        <v>1823</v>
      </c>
      <c r="B84" s="381" t="s">
        <v>431</v>
      </c>
      <c r="C84" s="382">
        <v>2000</v>
      </c>
      <c r="D84" s="383" t="s">
        <v>19</v>
      </c>
      <c r="E84" s="3052" t="s">
        <v>2938</v>
      </c>
      <c r="F84" s="42"/>
      <c r="G84" s="42"/>
      <c r="H84" s="1002"/>
      <c r="I84" s="310"/>
      <c r="J84" s="2013"/>
      <c r="K84" s="3341"/>
      <c r="L84" s="3017" t="s">
        <v>2872</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2873</v>
      </c>
      <c r="P84" s="2013"/>
      <c r="Q84" s="2013"/>
      <c r="R84" s="2013"/>
      <c r="S84" s="2013"/>
      <c r="T84" s="2013"/>
      <c r="U84" s="2013"/>
      <c r="V84" s="2013"/>
    </row>
    <row r="85" spans="1:26" ht="12.75">
      <c r="A85" s="380" t="s">
        <v>1824</v>
      </c>
      <c r="B85" s="381" t="s">
        <v>432</v>
      </c>
      <c r="C85" s="384">
        <f ca="1">C81-C84</f>
        <v>-810</v>
      </c>
      <c r="D85" s="377" t="s">
        <v>19</v>
      </c>
      <c r="E85" s="378"/>
      <c r="F85" s="42"/>
      <c r="G85" s="42"/>
      <c r="H85" s="1002"/>
      <c r="I85" s="310"/>
      <c r="J85" s="2013"/>
      <c r="K85" s="3341"/>
      <c r="L85" s="3017" t="s">
        <v>2874</v>
      </c>
      <c r="M85" s="3007" t="e">
        <f>IF(N69&gt;1000,N69*0.1%,IF(AND(N69&gt;500,N69&lt;=1000),N69*0.5%,IF(AND(N69&gt;50,N69&lt;=500),N69*1%,IF(AND(N69&gt;1,N69&lt;=50),N69*1.5%))))</f>
        <v>#VALUE!</v>
      </c>
      <c r="N85" s="53" t="e">
        <f t="shared" si="2"/>
        <v>#VALUE!</v>
      </c>
      <c r="O85" s="2013" t="s">
        <v>2873</v>
      </c>
      <c r="P85" s="2013"/>
      <c r="Q85" s="2013"/>
      <c r="R85" s="2013"/>
      <c r="S85" s="2013"/>
      <c r="T85" s="2013"/>
      <c r="U85" s="2013"/>
      <c r="V85" s="2013"/>
    </row>
    <row r="86" spans="1:26" ht="13.5" thickBot="1">
      <c r="A86" s="385" t="s">
        <v>1825</v>
      </c>
      <c r="B86" s="386" t="s">
        <v>433</v>
      </c>
      <c r="C86" s="387">
        <f ca="1">IF(C85&lt;=0,0,ROUND(C85*D86,0))</f>
        <v>0</v>
      </c>
      <c r="D86" s="388">
        <f>'数据-取费表'!B41</f>
        <v>5.5000000000000007E-2</v>
      </c>
      <c r="E86" s="389"/>
      <c r="F86" s="42"/>
      <c r="G86" s="42"/>
      <c r="H86" s="1002"/>
      <c r="I86" s="310"/>
      <c r="J86" s="2013"/>
      <c r="K86" s="3341"/>
      <c r="L86" s="3017" t="s">
        <v>2875</v>
      </c>
      <c r="M86" s="3007" t="e">
        <f>N69*0.5%</f>
        <v>#VALUE!</v>
      </c>
      <c r="N86" s="53" t="e">
        <f>IF(M86&gt;0.5,0.5,ROUND(M86,0))</f>
        <v>#VALUE!</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341"/>
      <c r="L87" s="3017" t="s">
        <v>2877</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0"/>
      <c r="Q87" s="2013"/>
      <c r="R87" s="2013"/>
      <c r="S87" s="2013"/>
      <c r="T87" s="2013"/>
      <c r="U87" s="2013"/>
      <c r="V87" s="2013"/>
      <c r="W87" s="291"/>
      <c r="X87" s="291"/>
      <c r="Y87" s="291"/>
      <c r="Z87" s="291"/>
    </row>
    <row r="88" spans="1:26" s="1309" customFormat="1" ht="15" thickBot="1">
      <c r="A88" s="3395" t="s">
        <v>434</v>
      </c>
      <c r="B88" s="3396"/>
      <c r="C88" s="3396"/>
      <c r="D88" s="3396"/>
      <c r="E88" s="3396"/>
      <c r="F88" s="3396"/>
      <c r="G88" s="3396"/>
      <c r="H88" s="3396"/>
      <c r="I88" s="1310"/>
      <c r="J88" s="2021"/>
      <c r="K88" s="3341"/>
      <c r="L88" s="3017" t="s">
        <v>2878</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09" customFormat="1" ht="14.25">
      <c r="A89" s="3359" t="s">
        <v>425</v>
      </c>
      <c r="B89" s="3360"/>
      <c r="C89" s="993"/>
      <c r="D89" s="993" t="s">
        <v>426</v>
      </c>
      <c r="E89" s="390" t="s">
        <v>435</v>
      </c>
      <c r="F89" s="391"/>
      <c r="G89" s="391"/>
      <c r="H89" s="392"/>
      <c r="I89" s="1311"/>
      <c r="J89" s="2023"/>
      <c r="K89" s="3341"/>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09" customFormat="1" ht="14.25">
      <c r="A90" s="380" t="s">
        <v>1820</v>
      </c>
      <c r="B90" s="381" t="s">
        <v>436</v>
      </c>
      <c r="C90" s="384">
        <f ca="1">ROUND(D63/(1+'数据-取费表'!C42),0)</f>
        <v>1190</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1826</v>
      </c>
      <c r="B91" s="347" t="s">
        <v>437</v>
      </c>
      <c r="C91" s="384">
        <f ca="1">C92+C96</f>
        <v>2567</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1827</v>
      </c>
      <c r="B92" s="375" t="s">
        <v>438</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1828</v>
      </c>
      <c r="B93" s="375" t="s">
        <v>439</v>
      </c>
      <c r="C93" s="395">
        <v>2000</v>
      </c>
      <c r="D93" s="377" t="s">
        <v>19</v>
      </c>
      <c r="E93" s="396" t="s">
        <v>440</v>
      </c>
      <c r="F93" s="397" t="s">
        <v>441</v>
      </c>
      <c r="G93" s="396" t="s">
        <v>442</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1829</v>
      </c>
      <c r="B94" s="399" t="s">
        <v>443</v>
      </c>
      <c r="C94" s="377">
        <f>IF(F93="购房发票",ROUND(C93*H93*5%,0),0)</f>
        <v>500</v>
      </c>
      <c r="D94" s="400">
        <v>0.05</v>
      </c>
      <c r="E94" s="3392" t="s">
        <v>444</v>
      </c>
      <c r="F94" s="3393"/>
      <c r="G94" s="3393"/>
      <c r="H94" s="339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1830</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1831</v>
      </c>
      <c r="B96" s="375" t="s">
        <v>447</v>
      </c>
      <c r="C96" s="404">
        <f ca="1">ROUND(D63*D96/(1+'数据-取费表'!C42),0)</f>
        <v>6</v>
      </c>
      <c r="D96" s="405">
        <f>'数据-取费表'!B43</f>
        <v>5.000000000000001E-3</v>
      </c>
      <c r="E96" s="3382" t="s">
        <v>2425</v>
      </c>
      <c r="F96" s="3383"/>
      <c r="G96" s="3383"/>
      <c r="H96" s="3384"/>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1832</v>
      </c>
      <c r="B97" s="381" t="s">
        <v>448</v>
      </c>
      <c r="C97" s="384">
        <f ca="1">C90-C91</f>
        <v>-1377</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1833</v>
      </c>
      <c r="B98" s="381" t="s">
        <v>449</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1834</v>
      </c>
      <c r="B99" s="386" t="s">
        <v>450</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95" t="s">
        <v>451</v>
      </c>
      <c r="B101" s="3396"/>
      <c r="C101" s="3396"/>
      <c r="D101" s="3396"/>
      <c r="E101" s="3396"/>
      <c r="F101" s="3396"/>
      <c r="G101" s="3396"/>
      <c r="H101" s="3396"/>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59" t="s">
        <v>425</v>
      </c>
      <c r="B102" s="3360"/>
      <c r="C102" s="993"/>
      <c r="D102" s="993" t="s">
        <v>426</v>
      </c>
      <c r="E102" s="390" t="s">
        <v>435</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1820</v>
      </c>
      <c r="B103" s="381" t="s">
        <v>436</v>
      </c>
      <c r="C103" s="384">
        <f ca="1">ROUND(D63/(1+'数据-取费表'!C42),0)</f>
        <v>1190</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1826</v>
      </c>
      <c r="B104" s="347" t="s">
        <v>437</v>
      </c>
      <c r="C104" s="384">
        <f ca="1">IF(H106="仅含出让金",C105+C108+C109+C110+C111+C112,C105+C109+C110+C111+C112)</f>
        <v>696</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1827</v>
      </c>
      <c r="B105" s="375" t="s">
        <v>452</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1828</v>
      </c>
      <c r="B106" s="375" t="s">
        <v>453</v>
      </c>
      <c r="C106" s="415">
        <v>555</v>
      </c>
      <c r="D106" s="405"/>
      <c r="E106" s="416" t="s">
        <v>454</v>
      </c>
      <c r="F106" s="985"/>
      <c r="G106" s="417" t="s">
        <v>455</v>
      </c>
      <c r="H106" s="418"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1829</v>
      </c>
      <c r="B107" s="375" t="s">
        <v>445</v>
      </c>
      <c r="C107" s="404">
        <f>ROUND(C106*D107,0)</f>
        <v>17</v>
      </c>
      <c r="D107" s="405">
        <f>'数据-取费表'!B48+'数据-取费表'!B49</f>
        <v>3.0499999999999999E-2</v>
      </c>
      <c r="E107" s="416" t="s">
        <v>456</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1831</v>
      </c>
      <c r="B108" s="375" t="s">
        <v>457</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1835</v>
      </c>
      <c r="B109" s="375" t="s">
        <v>458</v>
      </c>
      <c r="C109" s="404">
        <f>IF(H109="——",IF(F1="现房",'剩余法-现房'!C18,'剩余法（停车场0.1)'!C18),I109)</f>
        <v>55</v>
      </c>
      <c r="D109" s="405"/>
      <c r="E109" s="3385" t="s">
        <v>459</v>
      </c>
      <c r="F109" s="3383"/>
      <c r="G109" s="3383"/>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1836</v>
      </c>
      <c r="B110" s="375" t="s">
        <v>460</v>
      </c>
      <c r="C110" s="404">
        <f>ROUND((C105+C108+C109)*D110,0)</f>
        <v>63</v>
      </c>
      <c r="D110" s="405">
        <v>0.1</v>
      </c>
      <c r="E110" s="3385" t="s">
        <v>461</v>
      </c>
      <c r="F110" s="3383"/>
      <c r="G110" s="3383"/>
      <c r="H110" s="3384"/>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1837</v>
      </c>
      <c r="B111" s="375" t="s">
        <v>447</v>
      </c>
      <c r="C111" s="404">
        <f ca="1">ROUND(D63*D111/(1+'数据-取费表'!C42),0)</f>
        <v>6</v>
      </c>
      <c r="D111" s="405">
        <f>'数据-取费表'!B43</f>
        <v>5.000000000000001E-3</v>
      </c>
      <c r="E111" s="3382" t="s">
        <v>2425</v>
      </c>
      <c r="F111" s="3383"/>
      <c r="G111" s="3383"/>
      <c r="H111" s="3384"/>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1838</v>
      </c>
      <c r="B112" s="375" t="s">
        <v>462</v>
      </c>
      <c r="C112" s="404">
        <f>ROUND(C108*D112,0)</f>
        <v>0</v>
      </c>
      <c r="D112" s="405">
        <v>0.2</v>
      </c>
      <c r="E112" s="3385" t="s">
        <v>2450</v>
      </c>
      <c r="F112" s="3383"/>
      <c r="G112" s="3383"/>
      <c r="H112" s="3384"/>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1832</v>
      </c>
      <c r="B113" s="381" t="s">
        <v>448</v>
      </c>
      <c r="C113" s="384">
        <f ca="1">ROUND(C103-C104,0)</f>
        <v>494</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1833</v>
      </c>
      <c r="B114" s="381" t="s">
        <v>449</v>
      </c>
      <c r="C114" s="406">
        <f ca="1">IF(C113&lt;=0,0,C113/C104)</f>
        <v>0.70977011494252873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1834</v>
      </c>
      <c r="B115" s="386" t="s">
        <v>450</v>
      </c>
      <c r="C115" s="407">
        <f ca="1">ROUND(IF(C113&lt;=0,0,IF(C114&gt;=200%,C113*60%-C104*35%,IF(C114&gt;=100%,C113*50%-C104*15%,IF(C114&gt;=50%,C113*40%-C104*5%,IF(C114&lt;50%,C113*30%,0))))),0)</f>
        <v>163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4" sqref="L24"/>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463</v>
      </c>
      <c r="B1" s="2764" t="s">
        <v>3089</v>
      </c>
      <c r="C1" s="2089"/>
      <c r="D1" s="2089"/>
      <c r="E1" s="2089"/>
      <c r="F1" s="2089"/>
      <c r="G1" s="2089"/>
      <c r="H1" s="2089"/>
      <c r="I1" s="2089"/>
      <c r="J1" s="2089"/>
      <c r="K1" s="421">
        <f>MATCH(B1,'数据-取费表'!A6:A16,0)+5</f>
        <v>8</v>
      </c>
    </row>
    <row r="2" spans="1:31" s="2026" customFormat="1" ht="18" customHeight="1">
      <c r="A2" s="2086" t="s">
        <v>464</v>
      </c>
      <c r="B2" s="2090">
        <f ca="1">C36</f>
        <v>22</v>
      </c>
      <c r="C2" s="2089"/>
      <c r="D2" s="2089"/>
      <c r="E2" s="2089"/>
      <c r="F2" s="2089"/>
      <c r="G2" s="2089"/>
      <c r="H2" s="2089"/>
      <c r="I2" s="2089"/>
      <c r="J2" s="2089"/>
      <c r="K2" s="2089"/>
    </row>
    <row r="3" spans="1:31" s="2026" customFormat="1" ht="18" customHeight="1">
      <c r="A3" s="2091" t="s">
        <v>1681</v>
      </c>
      <c r="B3" s="2092">
        <f ca="1">ROUND(B2*10000/IF(B1="",'数据-汇总表'!E3,INDIRECT("'数据-取费表'!K"&amp;$K$1)),0)</f>
        <v>54</v>
      </c>
      <c r="C3" s="2089"/>
      <c r="D3" s="2089"/>
      <c r="E3" s="2089"/>
      <c r="F3" s="2089"/>
      <c r="G3" s="2089"/>
      <c r="H3" s="2089"/>
      <c r="I3" s="2089"/>
      <c r="J3" s="2089"/>
      <c r="K3" s="2089"/>
    </row>
    <row r="4" spans="1:31" s="2026" customFormat="1" ht="18" customHeight="1">
      <c r="A4" s="425" t="s">
        <v>465</v>
      </c>
      <c r="B4" s="426">
        <f ca="1">ROUND(B2*10000/IF(B1="",'数据-汇总表'!D3,INDIRECT("'数据-取费表'!R"&amp;$K$1)),0)</f>
        <v>5</v>
      </c>
      <c r="C4" s="427"/>
      <c r="D4" s="421"/>
      <c r="E4" s="421"/>
      <c r="F4" s="421"/>
      <c r="G4" s="421"/>
      <c r="H4" s="421"/>
      <c r="I4" s="421"/>
      <c r="J4" s="421"/>
      <c r="K4" s="421"/>
    </row>
    <row r="5" spans="1:31" s="2026" customFormat="1" ht="18" customHeight="1" thickBot="1">
      <c r="A5" s="428"/>
      <c r="B5" s="429">
        <f ca="1">ROUND(B2/(IF(B1="",'数据-汇总表'!D3,INDIRECT("'数据-取费表'!R"&amp;$K$1))/666.67),0)</f>
        <v>0</v>
      </c>
      <c r="C5" s="430" t="s">
        <v>466</v>
      </c>
      <c r="D5" s="421"/>
      <c r="E5" s="421"/>
      <c r="F5" s="421"/>
      <c r="G5" s="421"/>
      <c r="H5" s="421"/>
      <c r="I5" s="421"/>
      <c r="J5" s="421"/>
      <c r="K5" s="421"/>
    </row>
    <row r="6" spans="1:31" s="2096" customFormat="1" ht="16.5" customHeight="1">
      <c r="A6" s="2783" t="s">
        <v>1839</v>
      </c>
      <c r="B6" s="2784"/>
      <c r="C6" s="2785">
        <f ca="1">SUM(C10:K10)</f>
        <v>1163</v>
      </c>
      <c r="D6" s="2784"/>
      <c r="E6" s="2784"/>
      <c r="F6" s="2784"/>
      <c r="G6" s="2784"/>
      <c r="H6" s="2784"/>
      <c r="I6" s="2784"/>
      <c r="J6" s="2784"/>
      <c r="K6" s="2786"/>
    </row>
    <row r="7" spans="1:31" s="2098" customFormat="1" ht="15">
      <c r="A7" s="2787" t="s">
        <v>467</v>
      </c>
      <c r="B7" s="2788" t="s">
        <v>468</v>
      </c>
      <c r="C7" s="435" t="s">
        <v>3089</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1842</v>
      </c>
      <c r="B8" s="260" t="s">
        <v>469</v>
      </c>
      <c r="C8" s="2789">
        <v>12</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1843</v>
      </c>
      <c r="B9" s="260" t="s">
        <v>470</v>
      </c>
      <c r="C9" s="440">
        <f>SUMIF('数据-汇总表'!$C19:$C33,'剩余法（停车场0.1)'!C7,'数据-汇总表'!$E19:$E33)</f>
        <v>4100</v>
      </c>
      <c r="D9" s="440">
        <f>SUMIF('数据-汇总表'!$C19:$C33,'剩余法（停车场0.1)'!D7,'数据-汇总表'!$E19:$E33)</f>
        <v>0</v>
      </c>
      <c r="E9" s="440">
        <f>SUMIF('数据-汇总表'!$C19:$C33,'剩余法（停车场0.1)'!E7,'数据-汇总表'!$E19:$E33)</f>
        <v>0</v>
      </c>
      <c r="F9" s="440">
        <f>SUMIF('数据-汇总表'!$C19:$C33,'剩余法（停车场0.1)'!F7,'数据-汇总表'!$E19:$E33)</f>
        <v>0</v>
      </c>
      <c r="G9" s="440">
        <f>SUMIF('数据-汇总表'!$C19:$C33,'剩余法（停车场0.1)'!G7,'数据-汇总表'!$E19:$E33)</f>
        <v>0</v>
      </c>
      <c r="H9" s="440">
        <f>SUMIF('数据-汇总表'!$C19:$C33,'剩余法（停车场0.1)'!H7,'数据-汇总表'!$E19:$E33)</f>
        <v>0</v>
      </c>
      <c r="I9" s="440">
        <f>SUMIF('数据-汇总表'!$C19:$C33,'剩余法（停车场0.1)'!I7,'数据-汇总表'!$E19:$E33)</f>
        <v>0</v>
      </c>
      <c r="J9" s="440">
        <f>SUMIF('数据-汇总表'!$C19:$C33,'剩余法（停车场0.1)'!J7,'数据-汇总表'!$E19:$E33)</f>
        <v>0</v>
      </c>
      <c r="K9" s="441">
        <f>SUMIF('数据-汇总表'!$C19:$C33,'剩余法（停车场0.1)'!K7,'数据-汇总表'!$E19:$E33)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1844</v>
      </c>
      <c r="B10" s="2777" t="s">
        <v>471</v>
      </c>
      <c r="C10" s="2981">
        <f ca="1">不动产收益法!B2</f>
        <v>1163</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1840</v>
      </c>
      <c r="B11" s="2784"/>
      <c r="C11" s="2784"/>
      <c r="D11" s="2784"/>
      <c r="E11" s="2784"/>
      <c r="F11" s="2784"/>
      <c r="G11" s="2784"/>
      <c r="H11" s="2784"/>
      <c r="I11" s="2784"/>
      <c r="J11" s="2784"/>
      <c r="K11" s="2786"/>
    </row>
    <row r="12" spans="1:31" s="2070" customFormat="1" ht="13.5" customHeight="1">
      <c r="A12" s="2795" t="s">
        <v>467</v>
      </c>
      <c r="B12" s="2767" t="s">
        <v>468</v>
      </c>
      <c r="C12" s="2796" t="s">
        <v>472</v>
      </c>
      <c r="D12" s="2763" t="s">
        <v>473</v>
      </c>
      <c r="E12" s="2763" t="s">
        <v>474</v>
      </c>
      <c r="F12" s="2763" t="s">
        <v>475</v>
      </c>
      <c r="G12" s="2767"/>
      <c r="H12" s="2768"/>
      <c r="I12" s="2768"/>
      <c r="J12" s="2768"/>
      <c r="K12" s="2769"/>
    </row>
    <row r="13" spans="1:31" s="2101" customFormat="1" ht="13.5" customHeight="1">
      <c r="A13" s="2797" t="s">
        <v>1845</v>
      </c>
      <c r="B13" s="2798" t="s">
        <v>476</v>
      </c>
      <c r="C13" s="449">
        <f ca="1">IF(B1="",'数据-取费表'!P16,INDIRECT("'数据-取费表'!p"&amp;$K$1)+INDIRECT("'数据-取费表'!t"&amp;$K$1))</f>
        <v>820</v>
      </c>
      <c r="D13" s="2799"/>
      <c r="E13" s="2800"/>
      <c r="F13" s="2801"/>
      <c r="G13" s="2767"/>
      <c r="H13" s="2768"/>
      <c r="I13" s="2768"/>
      <c r="J13" s="2768"/>
      <c r="K13" s="2769"/>
    </row>
    <row r="14" spans="1:31" s="2101" customFormat="1" ht="13.5" customHeight="1">
      <c r="A14" s="2797" t="s">
        <v>1846</v>
      </c>
      <c r="B14" s="2798" t="s">
        <v>477</v>
      </c>
      <c r="C14" s="53">
        <f ca="1">ROUND(C13*F14,0)</f>
        <v>25</v>
      </c>
      <c r="D14" s="2799"/>
      <c r="E14" s="2800"/>
      <c r="F14" s="2802">
        <f>'数据-取费表'!B33</f>
        <v>0.03</v>
      </c>
      <c r="G14" s="2767" t="s">
        <v>478</v>
      </c>
      <c r="H14" s="2768"/>
      <c r="I14" s="2768"/>
      <c r="J14" s="2768"/>
      <c r="K14" s="2769"/>
    </row>
    <row r="15" spans="1:31" s="2101" customFormat="1" ht="13.5" customHeight="1">
      <c r="A15" s="2797" t="s">
        <v>1847</v>
      </c>
      <c r="B15" s="2798" t="s">
        <v>479</v>
      </c>
      <c r="C15" s="53">
        <f ca="1">ROUND(IF(B1="",SUMIF('数据-取费表'!C:C,"住宅",'数据-取费表'!P:P)*F15,IF(INDIRECT("'数据-取费表'!c"&amp;$K$1)="住宅",INDIRECT("'数据-取费表'!P"&amp;$K$1)*F15,0)),0)</f>
        <v>0</v>
      </c>
      <c r="D15" s="2799"/>
      <c r="E15" s="2800"/>
      <c r="F15" s="2802">
        <f>'数据-取费表'!B34</f>
        <v>0</v>
      </c>
      <c r="G15" s="2767" t="s">
        <v>480</v>
      </c>
      <c r="H15" s="2768"/>
      <c r="I15" s="2768"/>
      <c r="J15" s="2768"/>
      <c r="K15" s="2769"/>
    </row>
    <row r="16" spans="1:31" s="2102" customFormat="1" ht="13.5" customHeight="1">
      <c r="A16" s="2797" t="s">
        <v>1848</v>
      </c>
      <c r="B16" s="2798" t="s">
        <v>481</v>
      </c>
      <c r="C16" s="53">
        <f ca="1">ROUND(D16*E16/10000,0)</f>
        <v>82</v>
      </c>
      <c r="D16" s="2799">
        <f ca="1">IF(B1="",'数据-汇总表'!E3,INDIRECT("'数据-取费表'!K"&amp;$K$1)+INDIRECT("'数据-取费表'!S"&amp;$K$1))</f>
        <v>4100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1849</v>
      </c>
      <c r="B17" s="2798" t="s">
        <v>482</v>
      </c>
      <c r="C17" s="2803">
        <f ca="1">ROUND(C13*F17,0)</f>
        <v>12</v>
      </c>
      <c r="D17" s="474"/>
      <c r="E17" s="2803"/>
      <c r="F17" s="2804">
        <f>'数据-取费表'!B36</f>
        <v>1.4999999999999999E-2</v>
      </c>
      <c r="G17" s="260" t="s">
        <v>483</v>
      </c>
      <c r="H17" s="2770"/>
      <c r="I17" s="2770"/>
      <c r="J17" s="2770"/>
      <c r="K17" s="278"/>
    </row>
    <row r="18" spans="1:14" s="2101" customFormat="1" ht="13.5" customHeight="1">
      <c r="A18" s="2805" t="s">
        <v>1850</v>
      </c>
      <c r="B18" s="2806" t="s">
        <v>484</v>
      </c>
      <c r="C18" s="2807">
        <f ca="1">SUM(C13:C17)</f>
        <v>939</v>
      </c>
      <c r="D18" s="2808"/>
      <c r="E18" s="467"/>
      <c r="F18" s="467"/>
      <c r="G18" s="2771" t="s">
        <v>2427</v>
      </c>
      <c r="H18" s="2772"/>
      <c r="I18" s="2772"/>
      <c r="J18" s="2772"/>
      <c r="K18" s="2773"/>
    </row>
    <row r="19" spans="1:14" s="2101" customFormat="1" ht="13.5" customHeight="1">
      <c r="A19" s="2805" t="s">
        <v>1851</v>
      </c>
      <c r="B19" s="2806" t="s">
        <v>485</v>
      </c>
      <c r="C19" s="2763">
        <f ca="1">ROUND(D19*E19/10000,0)</f>
        <v>0</v>
      </c>
      <c r="D19" s="2809">
        <f ca="1">D16</f>
        <v>4100</v>
      </c>
      <c r="E19" s="2763">
        <f>'数据-取费表'!B32</f>
        <v>0</v>
      </c>
      <c r="F19" s="467"/>
      <c r="G19" s="2767" t="s">
        <v>486</v>
      </c>
      <c r="H19" s="2768"/>
      <c r="I19" s="2772"/>
      <c r="J19" s="2772"/>
      <c r="K19" s="2773"/>
    </row>
    <row r="20" spans="1:14" s="2101" customFormat="1" ht="13.5" customHeight="1">
      <c r="A20" s="2805" t="s">
        <v>1852</v>
      </c>
      <c r="B20" s="2806" t="s">
        <v>487</v>
      </c>
      <c r="C20" s="2763">
        <f ca="1">C21+C22-IF(B1="",'数据-取费表'!B29,IF(G20="已全部缴纳",C21+C22,H20))</f>
        <v>0</v>
      </c>
      <c r="D20" s="2809"/>
      <c r="E20" s="2763"/>
      <c r="F20" s="2810"/>
      <c r="G20" s="3040" t="s">
        <v>3090</v>
      </c>
      <c r="H20" s="2765"/>
      <c r="I20" s="2766" t="s">
        <v>2648</v>
      </c>
      <c r="J20" s="2772"/>
      <c r="K20" s="2773"/>
    </row>
    <row r="21" spans="1:14" s="2101" customFormat="1" ht="13.5" customHeight="1">
      <c r="A21" s="2797" t="s">
        <v>1853</v>
      </c>
      <c r="B21" s="2798" t="s">
        <v>488</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1854</v>
      </c>
      <c r="B22" s="2798" t="s">
        <v>489</v>
      </c>
      <c r="C22" s="53">
        <f ca="1">ROUND(D22*E22/10000,0)</f>
        <v>82</v>
      </c>
      <c r="D22" s="2799">
        <f ca="1">IF(B1="",'数据-汇总表'!E6,IF(INDIRECT("'数据-取费表'!c"&amp;$K$1)="住宅",INDIRECT("'数据-取费表'!s"&amp;$K$1),INDIRECT("'数据-取费表'!k"&amp;$K$1)+INDIRECT("'数据-取费表'!s"&amp;$K$1)))</f>
        <v>4100</v>
      </c>
      <c r="E22" s="53">
        <f>'数据-取费表'!B28</f>
        <v>200</v>
      </c>
      <c r="F22" s="2802"/>
      <c r="G22" s="26"/>
      <c r="H22" s="51"/>
      <c r="I22" s="51"/>
      <c r="J22" s="51"/>
      <c r="K22" s="2774"/>
    </row>
    <row r="23" spans="1:14" s="2101" customFormat="1" ht="13.5" customHeight="1">
      <c r="A23" s="2805" t="s">
        <v>1855</v>
      </c>
      <c r="B23" s="2987" t="s">
        <v>2830</v>
      </c>
      <c r="C23" s="2807">
        <f ca="1">ROUND((C18+C19+C20)*F23,0)</f>
        <v>19</v>
      </c>
      <c r="D23" s="467"/>
      <c r="E23" s="467"/>
      <c r="F23" s="2811">
        <f>'数据-取费表'!B37</f>
        <v>0.02</v>
      </c>
      <c r="G23" s="2767" t="s">
        <v>2428</v>
      </c>
      <c r="H23" s="2768"/>
      <c r="I23" s="2768"/>
      <c r="J23" s="2768"/>
      <c r="K23" s="2769"/>
      <c r="L23" s="2103"/>
      <c r="M23" s="2103"/>
      <c r="N23" s="2103"/>
    </row>
    <row r="24" spans="1:14" s="2101" customFormat="1" ht="13.5" customHeight="1">
      <c r="A24" s="2805" t="s">
        <v>1856</v>
      </c>
      <c r="B24" s="2987" t="s">
        <v>2833</v>
      </c>
      <c r="C24" s="2807">
        <f ca="1">ROUND(C6*F24,0)</f>
        <v>23</v>
      </c>
      <c r="D24" s="474"/>
      <c r="E24" s="472"/>
      <c r="F24" s="2811">
        <f>'数据-取费表'!B38</f>
        <v>0.02</v>
      </c>
      <c r="G24" s="2776" t="s">
        <v>496</v>
      </c>
      <c r="H24" s="2770"/>
      <c r="I24" s="2770"/>
      <c r="J24" s="2770"/>
      <c r="K24" s="278"/>
      <c r="L24" s="2103"/>
      <c r="M24" s="2103"/>
      <c r="N24" s="2103"/>
    </row>
    <row r="25" spans="1:14" s="2104" customFormat="1" ht="13.5" customHeight="1">
      <c r="A25" s="2805" t="s">
        <v>1857</v>
      </c>
      <c r="B25" s="2987" t="s">
        <v>2831</v>
      </c>
      <c r="C25" s="466">
        <f>ROUND(F25/(1+'数据-取费表'!C42),4)</f>
        <v>0</v>
      </c>
      <c r="D25" s="461" t="s">
        <v>2825</v>
      </c>
      <c r="E25" s="468"/>
      <c r="F25" s="2811">
        <f>IF(项目基本情况!B8="出让",0,'数据-取费表'!B48+'数据-取费表'!B49)</f>
        <v>0</v>
      </c>
      <c r="G25" s="2775" t="s">
        <v>2286</v>
      </c>
      <c r="H25" s="2768"/>
      <c r="I25" s="2768"/>
      <c r="J25" s="2768"/>
      <c r="K25" s="2769"/>
    </row>
    <row r="26" spans="1:14" s="2103" customFormat="1" ht="13.5" customHeight="1">
      <c r="A26" s="2805" t="s">
        <v>1858</v>
      </c>
      <c r="B26" s="2988" t="s">
        <v>2832</v>
      </c>
      <c r="C26" s="2812">
        <f ca="1">C28</f>
        <v>47</v>
      </c>
      <c r="D26" s="466">
        <f ca="1">C27</f>
        <v>9.7299999999999998E-2</v>
      </c>
      <c r="E26" s="468" t="s">
        <v>492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1853</v>
      </c>
      <c r="B27" s="2813" t="s">
        <v>493</v>
      </c>
      <c r="C27" s="2814">
        <f ca="1">ROUND(IF('数据-取费表'!B22&lt;=1,(1+C25)*F26*'数据-取费表'!B24,(1+C25)*(POWER((1+F26),'数据-取费表'!B24)-1)),4)</f>
        <v>9.7299999999999998E-2</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1854</v>
      </c>
      <c r="B28" s="2813" t="s">
        <v>2834</v>
      </c>
      <c r="C28" s="2815">
        <f ca="1">ROUND(IF('数据-取费表'!B22&lt;=1,(C18+C19+C20+C23+C24)*F26*'数据-取费表'!B24/2,(C18+C19+C20+C23+C24)*(POWER((1+F26),'数据-取费表'!B24/2)-1)),0)</f>
        <v>47</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1859</v>
      </c>
      <c r="B29" s="2806" t="s">
        <v>494</v>
      </c>
      <c r="C29" s="2807">
        <f ca="1">ROUND(C6*F29/(1+'数据-取费表'!C42),0)</f>
        <v>61</v>
      </c>
      <c r="D29" s="467"/>
      <c r="E29" s="467"/>
      <c r="F29" s="2989">
        <f>'数据-取费表'!B41</f>
        <v>5.5000000000000007E-2</v>
      </c>
      <c r="G29" s="2776" t="s">
        <v>495</v>
      </c>
      <c r="H29" s="2768"/>
      <c r="I29" s="2768"/>
      <c r="J29" s="2768"/>
      <c r="K29" s="2769"/>
    </row>
    <row r="30" spans="1:14" s="2106" customFormat="1" ht="13.5" customHeight="1">
      <c r="A30" s="1620" t="s">
        <v>1860</v>
      </c>
      <c r="B30" s="2817" t="s">
        <v>497</v>
      </c>
      <c r="C30" s="2812">
        <f ca="1">C31</f>
        <v>1089</v>
      </c>
      <c r="D30" s="476">
        <f ca="1">C32</f>
        <v>9.7299999999999998E-2</v>
      </c>
      <c r="E30" s="468" t="s">
        <v>492</v>
      </c>
      <c r="F30" s="470"/>
      <c r="G30" s="2775" t="s">
        <v>2968</v>
      </c>
      <c r="H30" s="2768"/>
      <c r="I30" s="2768"/>
      <c r="J30" s="2768"/>
      <c r="K30" s="2769"/>
    </row>
    <row r="31" spans="1:14" s="2105" customFormat="1" ht="13.5" customHeight="1">
      <c r="A31" s="802" t="s">
        <v>1853</v>
      </c>
      <c r="B31" s="2813"/>
      <c r="C31" s="449">
        <f ca="1">C18+C19+C20+C23+C24+C26+C29</f>
        <v>1089</v>
      </c>
      <c r="D31" s="471"/>
      <c r="E31" s="472"/>
      <c r="F31" s="473"/>
      <c r="G31" s="260"/>
      <c r="H31" s="2770"/>
      <c r="I31" s="2770"/>
      <c r="J31" s="2770"/>
      <c r="K31" s="278"/>
    </row>
    <row r="32" spans="1:14" s="2105" customFormat="1" ht="13.5" customHeight="1">
      <c r="A32" s="802" t="s">
        <v>1854</v>
      </c>
      <c r="B32" s="2813"/>
      <c r="C32" s="53">
        <f ca="1">ROUND(C25+D26,4)</f>
        <v>9.7299999999999998E-2</v>
      </c>
      <c r="D32" s="471"/>
      <c r="E32" s="472"/>
      <c r="F32" s="473"/>
      <c r="G32" s="260"/>
      <c r="H32" s="2770"/>
      <c r="I32" s="2770"/>
      <c r="J32" s="2770"/>
      <c r="K32" s="278"/>
    </row>
    <row r="33" spans="1:11" s="2107" customFormat="1" ht="13.5" customHeight="1">
      <c r="A33" s="2986" t="s">
        <v>2829</v>
      </c>
      <c r="B33" s="2984" t="s">
        <v>2827</v>
      </c>
      <c r="C33" s="477">
        <f ca="1">C35</f>
        <v>49</v>
      </c>
      <c r="D33" s="466">
        <f ca="1">C34</f>
        <v>0.05</v>
      </c>
      <c r="E33" s="468" t="s">
        <v>492</v>
      </c>
      <c r="F33" s="478">
        <f ca="1">IF(B1="",'数据-取费表'!Q16,INDIRECT("'数据-取费表'!q"&amp;$K$1))</f>
        <v>0.05</v>
      </c>
      <c r="G33" s="2771"/>
      <c r="H33" s="2772"/>
      <c r="I33" s="2772"/>
      <c r="J33" s="2772"/>
      <c r="K33" s="2773"/>
    </row>
    <row r="34" spans="1:11" s="2108" customFormat="1" ht="13.5" customHeight="1">
      <c r="A34" s="374" t="s">
        <v>1853</v>
      </c>
      <c r="B34" s="2818" t="s">
        <v>498</v>
      </c>
      <c r="C34" s="471">
        <f ca="1">ROUND((1+C25)*F33,4)</f>
        <v>0.05</v>
      </c>
      <c r="D34" s="471"/>
      <c r="E34" s="472"/>
      <c r="F34" s="479"/>
      <c r="G34" s="260" t="s">
        <v>2287</v>
      </c>
      <c r="H34" s="2770"/>
      <c r="I34" s="2770"/>
      <c r="J34" s="2770"/>
      <c r="K34" s="278"/>
    </row>
    <row r="35" spans="1:11" s="2108" customFormat="1" ht="13.5" customHeight="1" thickBot="1">
      <c r="A35" s="1621" t="s">
        <v>1854</v>
      </c>
      <c r="B35" s="2985" t="s">
        <v>2835</v>
      </c>
      <c r="C35" s="1613">
        <f ca="1">ROUND((C18+C19+C20+C23+C24)*F33,0)</f>
        <v>49</v>
      </c>
      <c r="D35" s="1614"/>
      <c r="E35" s="2819"/>
      <c r="F35" s="1615"/>
      <c r="G35" s="2777"/>
      <c r="H35" s="2778"/>
      <c r="I35" s="2778"/>
      <c r="J35" s="2778"/>
      <c r="K35" s="2779"/>
    </row>
    <row r="36" spans="1:11" s="2070" customFormat="1" ht="13.5" customHeight="1" thickBot="1">
      <c r="A36" s="283" t="s">
        <v>1841</v>
      </c>
      <c r="B36" s="2781"/>
      <c r="C36" s="2820">
        <f ca="1">ROUND((C6-C30-C33)/(1+D30+D33),0)</f>
        <v>22</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463</v>
      </c>
      <c r="B1" s="2764"/>
      <c r="C1" s="2089"/>
      <c r="D1" s="2089"/>
      <c r="E1" s="2089"/>
      <c r="F1" s="2089"/>
      <c r="G1" s="2089"/>
      <c r="H1" s="2089"/>
      <c r="I1" s="2089"/>
      <c r="J1" s="2089"/>
      <c r="K1" s="421">
        <f>MATCH(B1,'数据-取费表'!A6:A16,0)+5</f>
        <v>9</v>
      </c>
    </row>
    <row r="2" spans="1:41" s="2026" customFormat="1" ht="18" customHeight="1">
      <c r="A2" s="422" t="s">
        <v>464</v>
      </c>
      <c r="B2" s="423">
        <f ca="1">C32</f>
        <v>0</v>
      </c>
      <c r="C2" s="2089"/>
      <c r="D2" s="2089"/>
      <c r="E2" s="2089"/>
      <c r="F2" s="2089"/>
      <c r="G2" s="2089"/>
      <c r="H2" s="2089"/>
      <c r="I2" s="2089"/>
      <c r="J2" s="2089"/>
      <c r="K2" s="2089"/>
    </row>
    <row r="3" spans="1:41" s="2026" customFormat="1" ht="18" customHeight="1">
      <c r="A3" s="1375" t="s">
        <v>1681</v>
      </c>
      <c r="B3" s="424">
        <f ca="1">ROUND(B2*10000/IF(B1="",'数据-汇总表'!E3,INDIRECT("'数据-取费表'!K"&amp;$K$1)),0)</f>
        <v>0</v>
      </c>
      <c r="C3" s="2089"/>
      <c r="D3" s="2089"/>
      <c r="E3" s="2089"/>
      <c r="F3" s="2089"/>
      <c r="G3" s="2089"/>
      <c r="H3" s="2089"/>
      <c r="I3" s="2089"/>
      <c r="J3" s="2089"/>
      <c r="K3" s="2089"/>
    </row>
    <row r="4" spans="1:41" s="2026" customFormat="1" ht="18" customHeight="1">
      <c r="A4" s="425" t="s">
        <v>465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466</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5">
      <c r="A7" s="433" t="s">
        <v>467</v>
      </c>
      <c r="B7" s="434" t="s">
        <v>468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1842</v>
      </c>
      <c r="B8" s="437" t="s">
        <v>469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1843</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1844</v>
      </c>
      <c r="B10" s="1609" t="s">
        <v>471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1861</v>
      </c>
      <c r="B11" s="1606"/>
      <c r="C11" s="1606"/>
      <c r="D11" s="1606"/>
      <c r="E11" s="1606"/>
      <c r="F11" s="1606"/>
      <c r="G11" s="1606"/>
      <c r="H11" s="1606"/>
      <c r="I11" s="1606"/>
      <c r="J11" s="1606"/>
      <c r="K11" s="1607"/>
    </row>
    <row r="12" spans="1:41" s="2070" customFormat="1" ht="13.5" customHeight="1">
      <c r="A12" s="433" t="s">
        <v>467</v>
      </c>
      <c r="B12" s="443" t="s">
        <v>468</v>
      </c>
      <c r="C12" s="444" t="s">
        <v>472</v>
      </c>
      <c r="D12" s="445" t="s">
        <v>473</v>
      </c>
      <c r="E12" s="445" t="s">
        <v>474</v>
      </c>
      <c r="F12" s="445" t="s">
        <v>475</v>
      </c>
      <c r="G12" s="443"/>
      <c r="H12" s="446"/>
      <c r="I12" s="446"/>
      <c r="J12" s="446"/>
      <c r="K12" s="447"/>
    </row>
    <row r="13" spans="1:41" s="2101" customFormat="1" ht="13.5" customHeight="1">
      <c r="A13" s="1618" t="s">
        <v>1845</v>
      </c>
      <c r="B13" s="448" t="s">
        <v>476</v>
      </c>
      <c r="C13" s="449">
        <f ca="1">IF(B1="",'数据-取费表'!M16,INDIRECT("'数据-取费表'!M"&amp;$K$1)+INDIRECT("'数据-取费表'!t"&amp;$K$1))</f>
        <v>820</v>
      </c>
      <c r="D13" s="450"/>
      <c r="E13" s="364"/>
      <c r="F13" s="451"/>
      <c r="G13" s="443"/>
      <c r="H13" s="446"/>
      <c r="I13" s="446"/>
      <c r="J13" s="446"/>
      <c r="K13" s="447"/>
    </row>
    <row r="14" spans="1:41" s="2101" customFormat="1" ht="13.5" customHeight="1">
      <c r="A14" s="1618" t="s">
        <v>1846</v>
      </c>
      <c r="B14" s="448" t="s">
        <v>477</v>
      </c>
      <c r="C14" s="53">
        <f ca="1">ROUND(C13*F14,0)</f>
        <v>25</v>
      </c>
      <c r="D14" s="450"/>
      <c r="E14" s="364"/>
      <c r="F14" s="452">
        <f>'数据-取费表'!B33</f>
        <v>0.03</v>
      </c>
      <c r="G14" s="443" t="s">
        <v>499</v>
      </c>
      <c r="H14" s="446"/>
      <c r="I14" s="446"/>
      <c r="J14" s="446"/>
      <c r="K14" s="447"/>
    </row>
    <row r="15" spans="1:41" s="2101" customFormat="1" ht="13.5" customHeight="1">
      <c r="A15" s="1618" t="s">
        <v>1847</v>
      </c>
      <c r="B15" s="448" t="s">
        <v>479</v>
      </c>
      <c r="C15" s="53">
        <f ca="1">ROUND(IF(B1="",SUMIF('数据-取费表'!C:C,"住宅",'数据-取费表'!M:M)*F15,IF(INDIRECT("'数据-取费表'!c"&amp;$K$1)="住宅",INDIRECT("'数据-取费表'!M"&amp;$K$1)*F15,0)),0)</f>
        <v>0</v>
      </c>
      <c r="D15" s="450"/>
      <c r="E15" s="364"/>
      <c r="F15" s="452">
        <f>'数据-取费表'!B34</f>
        <v>0</v>
      </c>
      <c r="G15" s="443" t="s">
        <v>499</v>
      </c>
      <c r="H15" s="446"/>
      <c r="I15" s="446"/>
      <c r="J15" s="446"/>
      <c r="K15" s="447"/>
    </row>
    <row r="16" spans="1:41" s="2102" customFormat="1" ht="13.5" customHeight="1">
      <c r="A16" s="1618" t="s">
        <v>1848</v>
      </c>
      <c r="B16" s="448" t="s">
        <v>481</v>
      </c>
      <c r="C16" s="53">
        <f ca="1">ROUND(D16*E16/10000,0)</f>
        <v>82</v>
      </c>
      <c r="D16" s="450">
        <f ca="1">IF(B1="",'数据-汇总表'!E3,INDIRECT("'数据-取费表'!K"&amp;$K$1)+INDIRECT("'数据-取费表'!S"&amp;$K$1))</f>
        <v>4100</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1849</v>
      </c>
      <c r="B17" s="448" t="s">
        <v>482</v>
      </c>
      <c r="C17" s="453">
        <f ca="1">ROUND(C13*F17,0)</f>
        <v>12</v>
      </c>
      <c r="D17" s="454"/>
      <c r="E17" s="453"/>
      <c r="F17" s="455">
        <f>'数据-取费表'!B36</f>
        <v>1.4999999999999999E-2</v>
      </c>
      <c r="G17" s="443" t="s">
        <v>499</v>
      </c>
      <c r="H17" s="456"/>
      <c r="I17" s="456"/>
      <c r="J17" s="456"/>
      <c r="K17" s="457"/>
    </row>
    <row r="18" spans="1:14" s="2104" customFormat="1" ht="13.5" customHeight="1">
      <c r="A18" s="1619" t="s">
        <v>1850</v>
      </c>
      <c r="B18" s="458" t="s">
        <v>484</v>
      </c>
      <c r="C18" s="459">
        <f ca="1">SUM(C13:C17)</f>
        <v>939</v>
      </c>
      <c r="D18" s="460"/>
      <c r="E18" s="461"/>
      <c r="F18" s="461"/>
      <c r="G18" s="1322" t="s">
        <v>2429</v>
      </c>
      <c r="H18" s="446"/>
      <c r="I18" s="446"/>
      <c r="J18" s="446"/>
      <c r="K18" s="447"/>
    </row>
    <row r="19" spans="1:14" s="2104" customFormat="1" ht="13.5" customHeight="1">
      <c r="A19" s="1619" t="s">
        <v>1851</v>
      </c>
      <c r="B19" s="458" t="s">
        <v>490</v>
      </c>
      <c r="C19" s="459">
        <f ca="1">ROUND(C18*F19,0)</f>
        <v>19</v>
      </c>
      <c r="D19" s="461"/>
      <c r="E19" s="461"/>
      <c r="F19" s="465">
        <f>'数据-取费表'!B37</f>
        <v>0.02</v>
      </c>
      <c r="G19" s="443" t="s">
        <v>500</v>
      </c>
      <c r="H19" s="446"/>
      <c r="I19" s="446"/>
      <c r="J19" s="446"/>
      <c r="K19" s="447"/>
      <c r="L19" s="2106"/>
      <c r="M19" s="2106"/>
      <c r="N19" s="2106"/>
    </row>
    <row r="20" spans="1:14" s="2104" customFormat="1" ht="13.5" customHeight="1">
      <c r="A20" s="1619" t="s">
        <v>1852</v>
      </c>
      <c r="B20" s="458" t="s">
        <v>501</v>
      </c>
      <c r="C20" s="2982">
        <f>F20</f>
        <v>0.02</v>
      </c>
      <c r="D20" s="468" t="s">
        <v>502</v>
      </c>
      <c r="E20" s="468"/>
      <c r="F20" s="485">
        <f>'数据-取费表'!B38</f>
        <v>0.02</v>
      </c>
      <c r="G20" s="1322" t="s">
        <v>503</v>
      </c>
      <c r="H20" s="446"/>
      <c r="I20" s="446"/>
      <c r="J20" s="446"/>
      <c r="K20" s="447"/>
      <c r="L20" s="2106"/>
      <c r="M20" s="2106"/>
      <c r="N20" s="2106"/>
    </row>
    <row r="21" spans="1:14" s="2106" customFormat="1" ht="13.5" customHeight="1">
      <c r="A21" s="1619" t="s">
        <v>1855</v>
      </c>
      <c r="B21" s="460" t="s">
        <v>491</v>
      </c>
      <c r="C21" s="469">
        <f ca="1">C22</f>
        <v>46</v>
      </c>
      <c r="D21" s="466">
        <f ca="1">C23</f>
        <v>1E-3</v>
      </c>
      <c r="E21" s="468" t="s">
        <v>504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2451</v>
      </c>
    </row>
    <row r="22" spans="1:14" s="2105" customFormat="1" ht="13.5" customHeight="1">
      <c r="A22" s="1618" t="s">
        <v>1845</v>
      </c>
      <c r="B22" s="1323" t="s">
        <v>2432</v>
      </c>
      <c r="C22" s="486">
        <f ca="1">ROUND(IF('数据-取费表'!B22&lt;=1,(C18+C19)*F21*'数据-取费表'!B20/2,(C18+C19)*(POWER((1+F21),'数据-取费表'!B20/2)-1)),0)</f>
        <v>46</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1846</v>
      </c>
      <c r="B23" s="1323" t="s">
        <v>505</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1856</v>
      </c>
      <c r="B24" s="2984" t="s">
        <v>2828</v>
      </c>
      <c r="C24" s="477">
        <f ca="1">C25</f>
        <v>48</v>
      </c>
      <c r="D24" s="488">
        <f ca="1">C26</f>
        <v>1E-3</v>
      </c>
      <c r="E24" s="468" t="s">
        <v>504</v>
      </c>
      <c r="F24" s="478">
        <f ca="1">IF(B1="",'数据-取费表'!Q16,INDIRECT("'数据-取费表'!q"&amp;$K$1))</f>
        <v>0.05</v>
      </c>
      <c r="G24" s="443"/>
      <c r="H24" s="446"/>
      <c r="I24" s="446"/>
      <c r="J24" s="446"/>
      <c r="K24" s="447"/>
    </row>
    <row r="25" spans="1:14" s="2105" customFormat="1" ht="13.5" customHeight="1">
      <c r="A25" s="1618" t="s">
        <v>1845</v>
      </c>
      <c r="B25" s="1323" t="s">
        <v>2433</v>
      </c>
      <c r="C25" s="489">
        <f ca="1">ROUND((C18+C19)*F24,0)</f>
        <v>48</v>
      </c>
      <c r="D25" s="471"/>
      <c r="E25" s="472"/>
      <c r="F25" s="479"/>
      <c r="G25" s="1321" t="s">
        <v>2430</v>
      </c>
      <c r="H25" s="456"/>
      <c r="I25" s="456"/>
      <c r="J25" s="456"/>
      <c r="K25" s="457"/>
    </row>
    <row r="26" spans="1:14" s="2105" customFormat="1" ht="13.5" customHeight="1">
      <c r="A26" s="1618" t="s">
        <v>1846</v>
      </c>
      <c r="B26" s="1323" t="s">
        <v>506</v>
      </c>
      <c r="C26" s="490">
        <f ca="1">ROUND(F20*F24,4)</f>
        <v>1E-3</v>
      </c>
      <c r="D26" s="471"/>
      <c r="E26" s="480"/>
      <c r="F26" s="479"/>
      <c r="G26" s="1321" t="s">
        <v>507</v>
      </c>
      <c r="H26" s="456"/>
      <c r="I26" s="456"/>
      <c r="J26" s="456"/>
      <c r="K26" s="457"/>
    </row>
    <row r="27" spans="1:14" s="2105" customFormat="1" ht="13.5" customHeight="1">
      <c r="A27" s="1622" t="s">
        <v>1864</v>
      </c>
      <c r="B27" s="458" t="s">
        <v>508</v>
      </c>
      <c r="C27" s="2983">
        <f>ROUND(F27/(1+'数据-取费表'!C42),4)</f>
        <v>5.2400000000000002E-2</v>
      </c>
      <c r="D27" s="461" t="s">
        <v>2826</v>
      </c>
      <c r="E27" s="461"/>
      <c r="F27" s="465">
        <f>'数据-取费表'!B41</f>
        <v>5.5000000000000007E-2</v>
      </c>
      <c r="G27" s="1945" t="s">
        <v>2288</v>
      </c>
      <c r="H27" s="446"/>
      <c r="I27" s="446"/>
      <c r="J27" s="446"/>
      <c r="K27" s="447"/>
    </row>
    <row r="28" spans="1:14" s="2106" customFormat="1" ht="13.5" customHeight="1">
      <c r="A28" s="1622" t="s">
        <v>1865</v>
      </c>
      <c r="B28" s="475" t="s">
        <v>509</v>
      </c>
      <c r="C28" s="469">
        <f ca="1">ROUND((C18+C19+C21+C24)/(1-C20-D21-D24-C27),0)</f>
        <v>1137</v>
      </c>
      <c r="D28" s="476"/>
      <c r="E28" s="468"/>
      <c r="F28" s="470"/>
      <c r="G28" s="1322" t="s">
        <v>2431</v>
      </c>
      <c r="H28" s="446"/>
      <c r="I28" s="446"/>
      <c r="J28" s="446"/>
      <c r="K28" s="447"/>
    </row>
    <row r="29" spans="1:14" s="2106" customFormat="1" ht="13.5" customHeight="1">
      <c r="A29" s="1622" t="s">
        <v>1866</v>
      </c>
      <c r="B29" s="475" t="s">
        <v>510</v>
      </c>
      <c r="C29" s="491">
        <f ca="1">IF(B1="",'数据-取费表'!N16,INDIRECT("'数据-取费表'!N"&amp;$K$1))</f>
        <v>0</v>
      </c>
      <c r="D29" s="492"/>
      <c r="E29" s="493"/>
      <c r="F29" s="494"/>
      <c r="G29" s="443"/>
      <c r="H29" s="446"/>
      <c r="I29" s="446"/>
      <c r="J29" s="446"/>
      <c r="K29" s="447"/>
    </row>
    <row r="30" spans="1:14" s="2106" customFormat="1" ht="13.5" customHeight="1">
      <c r="A30" s="442">
        <v>2</v>
      </c>
      <c r="B30" s="475" t="s">
        <v>511</v>
      </c>
      <c r="C30" s="496">
        <f ca="1">ROUND(C28*C29,0)</f>
        <v>0</v>
      </c>
      <c r="D30" s="492"/>
      <c r="E30" s="497"/>
      <c r="F30" s="498"/>
      <c r="G30" s="1324" t="s">
        <v>512</v>
      </c>
      <c r="H30" s="495"/>
      <c r="I30" s="495"/>
      <c r="J30" s="446"/>
      <c r="K30" s="447"/>
    </row>
    <row r="31" spans="1:14" s="2111" customFormat="1" ht="13.5" customHeight="1">
      <c r="A31" s="2446" t="s">
        <v>1862</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447" t="s">
        <v>2969</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1898</v>
      </c>
      <c r="B36" s="1639" t="s">
        <v>1899</v>
      </c>
    </row>
    <row r="37" spans="1:9" ht="28.5" customHeight="1">
      <c r="A37" s="1639"/>
      <c r="B37" s="3253" t="str">
        <f>项目基本情况!B1</f>
        <v>房山区青龙湖镇坨里村出让国有建设用地使用权市场价格预评估</v>
      </c>
      <c r="C37" s="3253"/>
      <c r="D37" s="3253"/>
      <c r="E37" s="3253"/>
      <c r="F37" s="3253"/>
      <c r="G37" s="3253"/>
      <c r="H37" s="3253"/>
      <c r="I37" s="3253"/>
    </row>
    <row r="38" spans="1:9">
      <c r="A38" s="1641"/>
      <c r="B38" s="1641"/>
    </row>
    <row r="39" spans="1:9">
      <c r="A39" s="1639" t="s">
        <v>1898</v>
      </c>
      <c r="B39" s="1639" t="s">
        <v>2043</v>
      </c>
    </row>
    <row r="40" spans="1:9">
      <c r="A40" s="1639"/>
      <c r="B40" s="1639">
        <f>项目基本情况!B5</f>
        <v>0</v>
      </c>
    </row>
    <row r="41" spans="1:9">
      <c r="A41" s="1639"/>
      <c r="B41" s="1639"/>
    </row>
    <row r="42" spans="1:9">
      <c r="A42" s="1639" t="s">
        <v>1898</v>
      </c>
      <c r="B42" s="1639" t="s">
        <v>2044</v>
      </c>
    </row>
    <row r="43" spans="1:9">
      <c r="A43" s="1639"/>
      <c r="B43" s="1639" t="s">
        <v>1900</v>
      </c>
    </row>
    <row r="44" spans="1:9">
      <c r="A44" s="1639"/>
      <c r="B44" s="1639"/>
    </row>
    <row r="45" spans="1:9">
      <c r="A45" s="1639" t="s">
        <v>1898</v>
      </c>
      <c r="B45" s="1639" t="s">
        <v>2042</v>
      </c>
    </row>
    <row r="46" spans="1:9" s="1639" customFormat="1" ht="12.75">
      <c r="B46" s="1639" t="str">
        <f>项目基本情况!K4</f>
        <v>土地估价师、土地估价师</v>
      </c>
    </row>
    <row r="47" spans="1:9">
      <c r="A47" s="1639"/>
      <c r="B47" s="1639"/>
    </row>
    <row r="48" spans="1:9">
      <c r="A48" s="1639" t="s">
        <v>1898</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513</v>
      </c>
      <c r="B1" s="502"/>
      <c r="C1" s="503" t="s">
        <v>514</v>
      </c>
      <c r="D1" s="504" t="s">
        <v>515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464</v>
      </c>
      <c r="B2" s="507"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1681</v>
      </c>
      <c r="B3" s="509"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517</v>
      </c>
      <c r="B4" s="426"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518</v>
      </c>
      <c r="B6" s="512"/>
      <c r="C6" s="3440" t="s">
        <v>519</v>
      </c>
      <c r="D6" s="3441"/>
      <c r="E6" s="3440" t="s">
        <v>520</v>
      </c>
      <c r="F6" s="3441"/>
      <c r="G6" s="3440" t="s">
        <v>521</v>
      </c>
      <c r="H6" s="3441"/>
      <c r="I6" s="3440" t="s">
        <v>522</v>
      </c>
      <c r="J6" s="3441"/>
      <c r="K6" s="513" t="s">
        <v>523</v>
      </c>
      <c r="L6" s="2118"/>
      <c r="M6" s="2117"/>
      <c r="N6" s="2117"/>
      <c r="O6" s="2119"/>
      <c r="P6" s="3442" t="s">
        <v>524</v>
      </c>
      <c r="Q6" s="3443"/>
      <c r="R6" s="3428" t="s">
        <v>520</v>
      </c>
      <c r="S6" s="3429"/>
      <c r="T6" s="3428" t="s">
        <v>521</v>
      </c>
      <c r="U6" s="3429"/>
      <c r="V6" s="3448" t="s">
        <v>522</v>
      </c>
      <c r="W6" s="3448"/>
      <c r="X6" s="1553"/>
      <c r="Y6" s="3428" t="s">
        <v>524</v>
      </c>
      <c r="Z6" s="3429"/>
      <c r="AA6" s="3423" t="s">
        <v>520</v>
      </c>
      <c r="AB6" s="3424" t="s">
        <v>521</v>
      </c>
      <c r="AC6" s="3423" t="s">
        <v>522</v>
      </c>
    </row>
    <row r="7" spans="1:30" ht="20.25">
      <c r="A7" s="514"/>
      <c r="B7" s="515"/>
      <c r="C7" s="3451" t="s">
        <v>2927</v>
      </c>
      <c r="D7" s="3452"/>
      <c r="E7" s="3451" t="s">
        <v>2928</v>
      </c>
      <c r="F7" s="3452"/>
      <c r="G7" s="3451" t="s">
        <v>2929</v>
      </c>
      <c r="H7" s="3452"/>
      <c r="I7" s="3451" t="s">
        <v>2930</v>
      </c>
      <c r="J7" s="3452"/>
      <c r="K7" s="513"/>
      <c r="L7" s="2118"/>
      <c r="M7" s="2117"/>
      <c r="N7" s="2117"/>
      <c r="O7" s="2119"/>
      <c r="P7" s="3444"/>
      <c r="Q7" s="3445"/>
      <c r="R7" s="3430"/>
      <c r="S7" s="3431"/>
      <c r="T7" s="3430"/>
      <c r="U7" s="3431"/>
      <c r="V7" s="3448"/>
      <c r="W7" s="3448"/>
      <c r="X7" s="1553"/>
      <c r="Y7" s="3430"/>
      <c r="Z7" s="3431"/>
      <c r="AA7" s="3424"/>
      <c r="AB7" s="3424"/>
      <c r="AC7" s="3424"/>
    </row>
    <row r="8" spans="1:30" ht="21" thickBot="1">
      <c r="A8" s="514"/>
      <c r="B8" s="515"/>
      <c r="C8" s="3453" t="s">
        <v>2931</v>
      </c>
      <c r="D8" s="3454"/>
      <c r="E8" s="3453" t="s">
        <v>2931</v>
      </c>
      <c r="F8" s="3454"/>
      <c r="G8" s="3449" t="s">
        <v>2931</v>
      </c>
      <c r="H8" s="3450"/>
      <c r="I8" s="3449" t="s">
        <v>2931</v>
      </c>
      <c r="J8" s="3450"/>
      <c r="K8" s="513" t="s">
        <v>525</v>
      </c>
      <c r="L8" s="2118"/>
      <c r="M8" s="2117"/>
      <c r="N8" s="2117"/>
      <c r="O8" s="2119"/>
      <c r="P8" s="3446"/>
      <c r="Q8" s="3447"/>
      <c r="R8" s="3430"/>
      <c r="S8" s="3431"/>
      <c r="T8" s="3432"/>
      <c r="U8" s="3433"/>
      <c r="V8" s="3448"/>
      <c r="W8" s="3448"/>
      <c r="X8" s="1553"/>
      <c r="Y8" s="3432"/>
      <c r="Z8" s="3433"/>
      <c r="AA8" s="3425"/>
      <c r="AB8" s="3425"/>
      <c r="AC8" s="3425"/>
    </row>
    <row r="9" spans="1:30" s="1215" customFormat="1" ht="21" thickBot="1">
      <c r="A9" s="2867"/>
      <c r="B9" s="2874" t="s">
        <v>526</v>
      </c>
      <c r="C9" s="2866">
        <f>'数据-取费表'!B2</f>
        <v>43700</v>
      </c>
      <c r="D9" s="519">
        <v>100</v>
      </c>
      <c r="E9" s="520"/>
      <c r="F9" s="521">
        <f>SUMIF(72:72,YEAR(E9)&amp;"-"&amp;INT((MONTH(E9)+2)/3),73:73)</f>
        <v>0</v>
      </c>
      <c r="G9" s="522"/>
      <c r="H9" s="519">
        <f>SUMIF(72:72,YEAR(G9)&amp;"-"&amp;INT((MONTH(G9)+2)/3),73:73)</f>
        <v>0</v>
      </c>
      <c r="I9" s="522"/>
      <c r="J9" s="519">
        <f>SUMIF(72:72,YEAR(I9)&amp;"-"&amp;INT((MONTH(I9)+2)/3),73:73)</f>
        <v>0</v>
      </c>
      <c r="K9" s="523"/>
      <c r="L9" s="2120"/>
      <c r="M9" s="2117"/>
      <c r="N9" s="2117"/>
      <c r="O9" s="2121"/>
      <c r="P9" s="3426" t="s">
        <v>527</v>
      </c>
      <c r="Q9" s="3435"/>
      <c r="R9" s="1554" t="s">
        <v>8</v>
      </c>
      <c r="S9" s="1555">
        <f t="shared" ref="S9:S17" si="0">F9</f>
        <v>0</v>
      </c>
      <c r="T9" s="1554" t="s">
        <v>8</v>
      </c>
      <c r="U9" s="1555">
        <f t="shared" ref="U9:U17" si="1">H9</f>
        <v>0</v>
      </c>
      <c r="V9" s="1554" t="s">
        <v>8</v>
      </c>
      <c r="W9" s="1555">
        <f t="shared" ref="W9:W17" si="2">J9</f>
        <v>0</v>
      </c>
      <c r="X9" s="1556"/>
      <c r="Y9" s="3426" t="s">
        <v>527</v>
      </c>
      <c r="Z9" s="3427"/>
      <c r="AA9" s="1557" t="e">
        <f>D9/F9</f>
        <v>#DIV/0!</v>
      </c>
      <c r="AB9" s="1557" t="e">
        <f>D9/H9</f>
        <v>#DIV/0!</v>
      </c>
      <c r="AC9" s="1557" t="e">
        <f>D9/J9</f>
        <v>#DIV/0!</v>
      </c>
    </row>
    <row r="10" spans="1:30" s="1215" customFormat="1" ht="21" thickBot="1">
      <c r="A10" s="2868"/>
      <c r="B10" s="2875" t="s">
        <v>528</v>
      </c>
      <c r="C10" s="855" t="s">
        <v>529</v>
      </c>
      <c r="D10" s="519">
        <v>100</v>
      </c>
      <c r="E10" s="524"/>
      <c r="F10" s="521">
        <f>SUMIF(75:75,E10,76:76)-SUMIF(75:75,C10,76:76)+100</f>
        <v>0</v>
      </c>
      <c r="G10" s="524"/>
      <c r="H10" s="519">
        <f>SUMIF(75:75,G10,76:76)-SUMIF(75:75,C10,76:76)+100</f>
        <v>0</v>
      </c>
      <c r="I10" s="524"/>
      <c r="J10" s="519">
        <f>SUMIF(75:75,I10,76:76)-SUMIF(75:75,C10,76:76)+100</f>
        <v>0</v>
      </c>
      <c r="K10" s="523"/>
      <c r="L10" s="2120"/>
      <c r="M10" s="2117"/>
      <c r="N10" s="2117"/>
      <c r="O10" s="2121"/>
      <c r="P10" s="3426" t="s">
        <v>530</v>
      </c>
      <c r="Q10" s="3427"/>
      <c r="R10" s="1554" t="s">
        <v>8</v>
      </c>
      <c r="S10" s="1555">
        <f t="shared" si="0"/>
        <v>0</v>
      </c>
      <c r="T10" s="1554" t="s">
        <v>8</v>
      </c>
      <c r="U10" s="1555">
        <f t="shared" si="1"/>
        <v>0</v>
      </c>
      <c r="V10" s="1554" t="s">
        <v>8</v>
      </c>
      <c r="W10" s="1555">
        <f t="shared" si="2"/>
        <v>0</v>
      </c>
      <c r="X10" s="1556"/>
      <c r="Y10" s="3426" t="s">
        <v>530</v>
      </c>
      <c r="Z10" s="3427"/>
      <c r="AA10" s="1557" t="e">
        <f t="shared" ref="AA10:AA47" si="3">D10/F10</f>
        <v>#DIV/0!</v>
      </c>
      <c r="AB10" s="1557" t="e">
        <f t="shared" ref="AB10:AB47" si="4">D10/H10</f>
        <v>#DIV/0!</v>
      </c>
      <c r="AC10" s="1557" t="e">
        <f t="shared" ref="AC10:AC47" si="5">D10/J10</f>
        <v>#DIV/0!</v>
      </c>
    </row>
    <row r="11" spans="1:30" s="1215" customFormat="1" ht="20.25">
      <c r="A11" s="2869"/>
      <c r="B11" s="2876" t="s">
        <v>2753</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434" t="s">
        <v>532</v>
      </c>
      <c r="Q11" s="1146" t="str">
        <f t="shared" ref="Q11:Q17" si="6">B11</f>
        <v>用途</v>
      </c>
      <c r="R11" s="1554" t="s">
        <v>8</v>
      </c>
      <c r="S11" s="1555">
        <f t="shared" si="0"/>
        <v>100</v>
      </c>
      <c r="T11" s="1554" t="s">
        <v>8</v>
      </c>
      <c r="U11" s="1555">
        <f t="shared" si="1"/>
        <v>100</v>
      </c>
      <c r="V11" s="1554" t="s">
        <v>8</v>
      </c>
      <c r="W11" s="1555">
        <f t="shared" si="2"/>
        <v>100</v>
      </c>
      <c r="X11" s="1556"/>
      <c r="Y11" s="3391" t="s">
        <v>533</v>
      </c>
      <c r="Z11" s="1145" t="str">
        <f t="shared" ref="Z11:Z17" si="7">Q11</f>
        <v>用途</v>
      </c>
      <c r="AA11" s="1557">
        <f t="shared" si="3"/>
        <v>1</v>
      </c>
      <c r="AB11" s="1557">
        <f t="shared" si="4"/>
        <v>1</v>
      </c>
      <c r="AC11" s="1557">
        <f t="shared" si="5"/>
        <v>1</v>
      </c>
    </row>
    <row r="12" spans="1:30" s="1333" customFormat="1" ht="27">
      <c r="A12" s="2870"/>
      <c r="B12" s="2875" t="s">
        <v>2754</v>
      </c>
      <c r="C12" s="909"/>
      <c r="D12" s="254">
        <v>100</v>
      </c>
      <c r="E12" s="528"/>
      <c r="F12" s="254">
        <f>ROUND(100/'数据-取费表'!G16,0)</f>
        <v>100</v>
      </c>
      <c r="G12" s="529"/>
      <c r="H12" s="254">
        <f>ROUND(100/'数据-取费表'!G16,0)</f>
        <v>100</v>
      </c>
      <c r="I12" s="529"/>
      <c r="J12" s="254">
        <f>ROUND(100/'数据-取费表'!G16,0)</f>
        <v>100</v>
      </c>
      <c r="K12" s="530"/>
      <c r="L12" s="2123"/>
      <c r="M12" s="2117"/>
      <c r="N12" s="2117"/>
      <c r="O12" s="2124"/>
      <c r="P12" s="3434"/>
      <c r="Q12" s="1146" t="str">
        <f t="shared" si="6"/>
        <v>土地使用年限（年）</v>
      </c>
      <c r="R12" s="1554" t="s">
        <v>8</v>
      </c>
      <c r="S12" s="1555">
        <f t="shared" si="0"/>
        <v>100</v>
      </c>
      <c r="T12" s="1554" t="s">
        <v>8</v>
      </c>
      <c r="U12" s="1555">
        <f t="shared" si="1"/>
        <v>100</v>
      </c>
      <c r="V12" s="1554" t="s">
        <v>8</v>
      </c>
      <c r="W12" s="1555">
        <f t="shared" si="2"/>
        <v>100</v>
      </c>
      <c r="X12" s="1556"/>
      <c r="Y12" s="3391"/>
      <c r="Z12" s="1145" t="str">
        <f t="shared" si="7"/>
        <v>土地使用年限（年）</v>
      </c>
      <c r="AA12" s="1557">
        <f t="shared" si="3"/>
        <v>1</v>
      </c>
      <c r="AB12" s="1557">
        <f t="shared" si="4"/>
        <v>1</v>
      </c>
      <c r="AC12" s="1557">
        <f t="shared" si="5"/>
        <v>1</v>
      </c>
    </row>
    <row r="13" spans="1:30" ht="20.25">
      <c r="A13" s="2871"/>
      <c r="B13" s="2875"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5"/>
      <c r="M13" s="2117"/>
      <c r="N13" s="2117"/>
      <c r="O13" s="2126"/>
      <c r="P13" s="3434"/>
      <c r="Q13" s="1146" t="str">
        <f t="shared" si="6"/>
        <v>容积率</v>
      </c>
      <c r="R13" s="1554" t="s">
        <v>8</v>
      </c>
      <c r="S13" s="1555" t="e">
        <f t="shared" si="0"/>
        <v>#N/A</v>
      </c>
      <c r="T13" s="1554" t="s">
        <v>8</v>
      </c>
      <c r="U13" s="1555" t="e">
        <f t="shared" si="1"/>
        <v>#N/A</v>
      </c>
      <c r="V13" s="1554" t="s">
        <v>8</v>
      </c>
      <c r="W13" s="1555" t="e">
        <f t="shared" si="2"/>
        <v>#N/A</v>
      </c>
      <c r="X13" s="1556"/>
      <c r="Y13" s="3391"/>
      <c r="Z13" s="1145" t="str">
        <f t="shared" si="7"/>
        <v>容积率</v>
      </c>
      <c r="AA13" s="1557" t="e">
        <f t="shared" si="3"/>
        <v>#N/A</v>
      </c>
      <c r="AB13" s="1557" t="e">
        <f t="shared" si="4"/>
        <v>#N/A</v>
      </c>
      <c r="AC13" s="1557" t="e">
        <f t="shared" si="5"/>
        <v>#N/A</v>
      </c>
    </row>
    <row r="14" spans="1:30" s="1215" customFormat="1" ht="20.25">
      <c r="A14" s="2868"/>
      <c r="B14" s="2877" t="s">
        <v>2756</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434"/>
      <c r="Q14" s="1146" t="str">
        <f t="shared" si="6"/>
        <v>配建</v>
      </c>
      <c r="R14" s="1554" t="s">
        <v>8</v>
      </c>
      <c r="S14" s="1555">
        <f t="shared" si="0"/>
        <v>100</v>
      </c>
      <c r="T14" s="1554" t="s">
        <v>8</v>
      </c>
      <c r="U14" s="1555">
        <f t="shared" si="1"/>
        <v>100</v>
      </c>
      <c r="V14" s="1554" t="s">
        <v>8</v>
      </c>
      <c r="W14" s="1555">
        <f t="shared" si="2"/>
        <v>100</v>
      </c>
      <c r="X14" s="1556"/>
      <c r="Y14" s="3391"/>
      <c r="Z14" s="1145" t="str">
        <f t="shared" si="7"/>
        <v>配建</v>
      </c>
      <c r="AA14" s="1557">
        <f>D14/F14</f>
        <v>1</v>
      </c>
      <c r="AB14" s="1557">
        <f>D14/H14</f>
        <v>1</v>
      </c>
      <c r="AC14" s="1557">
        <f>D14/J14</f>
        <v>1</v>
      </c>
    </row>
    <row r="15" spans="1:30" ht="20.25">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434"/>
      <c r="Q15" s="1146">
        <f t="shared" si="6"/>
        <v>111</v>
      </c>
      <c r="R15" s="1554" t="s">
        <v>8</v>
      </c>
      <c r="S15" s="1555">
        <f t="shared" si="0"/>
        <v>100</v>
      </c>
      <c r="T15" s="1554" t="s">
        <v>8</v>
      </c>
      <c r="U15" s="1555">
        <f t="shared" si="1"/>
        <v>100</v>
      </c>
      <c r="V15" s="1554" t="s">
        <v>8</v>
      </c>
      <c r="W15" s="1555">
        <f t="shared" si="2"/>
        <v>100</v>
      </c>
      <c r="X15" s="1556"/>
      <c r="Y15" s="3391"/>
      <c r="Z15" s="1145">
        <f t="shared" si="7"/>
        <v>111</v>
      </c>
      <c r="AA15" s="1557">
        <f>D15/F15</f>
        <v>1</v>
      </c>
      <c r="AB15" s="1557">
        <f>D15/H15</f>
        <v>1</v>
      </c>
      <c r="AC15" s="1557">
        <f>D15/J15</f>
        <v>1</v>
      </c>
    </row>
    <row r="16" spans="1:30" ht="2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434"/>
      <c r="Q16" s="1146">
        <f t="shared" si="6"/>
        <v>111</v>
      </c>
      <c r="R16" s="1554" t="s">
        <v>8</v>
      </c>
      <c r="S16" s="1555">
        <f t="shared" si="0"/>
        <v>100</v>
      </c>
      <c r="T16" s="1554" t="s">
        <v>8</v>
      </c>
      <c r="U16" s="1555">
        <f t="shared" si="1"/>
        <v>100</v>
      </c>
      <c r="V16" s="1554" t="s">
        <v>8</v>
      </c>
      <c r="W16" s="1555">
        <f t="shared" si="2"/>
        <v>100</v>
      </c>
      <c r="X16" s="1556"/>
      <c r="Y16" s="3391"/>
      <c r="Z16" s="1145">
        <f t="shared" si="7"/>
        <v>111</v>
      </c>
      <c r="AA16" s="1557">
        <f>D16/F16</f>
        <v>1</v>
      </c>
      <c r="AB16" s="1557">
        <f>D16/H16</f>
        <v>1</v>
      </c>
      <c r="AC16" s="1557">
        <f>D16/J16</f>
        <v>1</v>
      </c>
    </row>
    <row r="17" spans="1:29" ht="99.75">
      <c r="A17" s="2865" t="s">
        <v>2751</v>
      </c>
      <c r="B17" s="577" t="s">
        <v>292</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436" t="s">
        <v>537</v>
      </c>
      <c r="Q17" s="1558" t="str">
        <f t="shared" si="6"/>
        <v>居住社区成熟度</v>
      </c>
      <c r="R17" s="1559" t="s">
        <v>8</v>
      </c>
      <c r="S17" s="1560">
        <f t="shared" si="0"/>
        <v>100</v>
      </c>
      <c r="T17" s="1559" t="s">
        <v>8</v>
      </c>
      <c r="U17" s="1560">
        <f t="shared" si="1"/>
        <v>100</v>
      </c>
      <c r="V17" s="1559" t="s">
        <v>8</v>
      </c>
      <c r="W17" s="1560">
        <f t="shared" si="2"/>
        <v>100</v>
      </c>
      <c r="X17" s="1553"/>
      <c r="Y17" s="3436" t="s">
        <v>537</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7"/>
      <c r="M18" s="2117"/>
      <c r="N18" s="2117"/>
      <c r="O18" s="2126"/>
      <c r="P18" s="3437"/>
      <c r="Q18" s="1558"/>
      <c r="R18" s="1559"/>
      <c r="S18" s="1560"/>
      <c r="T18" s="1559"/>
      <c r="U18" s="1560"/>
      <c r="V18" s="1559"/>
      <c r="W18" s="1560"/>
      <c r="X18" s="1553"/>
      <c r="Y18" s="3437"/>
      <c r="Z18" s="1561"/>
      <c r="AA18" s="1562">
        <v>1</v>
      </c>
      <c r="AB18" s="1562">
        <v>1</v>
      </c>
      <c r="AC18" s="1562">
        <v>1</v>
      </c>
    </row>
    <row r="19" spans="1:29" ht="71.25">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7"/>
      <c r="M19" s="2117"/>
      <c r="N19" s="2117"/>
      <c r="O19" s="2126"/>
      <c r="P19" s="3437"/>
      <c r="Q19" s="1558" t="str">
        <f>B19</f>
        <v>商业繁华度</v>
      </c>
      <c r="R19" s="1559" t="s">
        <v>8</v>
      </c>
      <c r="S19" s="1560">
        <f>F19</f>
        <v>100</v>
      </c>
      <c r="T19" s="1559" t="s">
        <v>8</v>
      </c>
      <c r="U19" s="1560">
        <f>H19</f>
        <v>100</v>
      </c>
      <c r="V19" s="1559" t="s">
        <v>8</v>
      </c>
      <c r="W19" s="1560">
        <f>J19</f>
        <v>100</v>
      </c>
      <c r="X19" s="1553"/>
      <c r="Y19" s="3437"/>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7"/>
      <c r="M20" s="2117"/>
      <c r="N20" s="2117"/>
      <c r="O20" s="2126"/>
      <c r="P20" s="3437"/>
      <c r="Q20" s="1558"/>
      <c r="R20" s="1559"/>
      <c r="S20" s="1560"/>
      <c r="T20" s="1559"/>
      <c r="U20" s="1560"/>
      <c r="V20" s="1559"/>
      <c r="W20" s="1560"/>
      <c r="X20" s="1553"/>
      <c r="Y20" s="3437"/>
      <c r="Z20" s="1561"/>
      <c r="AA20" s="1562">
        <v>1</v>
      </c>
      <c r="AB20" s="1562">
        <v>1</v>
      </c>
      <c r="AC20" s="1562">
        <v>1</v>
      </c>
    </row>
    <row r="21" spans="1:29" ht="71.25">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37"/>
      <c r="Q21" s="1558" t="str">
        <f>B21</f>
        <v>办公集聚程度</v>
      </c>
      <c r="R21" s="1559" t="s">
        <v>8</v>
      </c>
      <c r="S21" s="1560">
        <f>F21</f>
        <v>100</v>
      </c>
      <c r="T21" s="1559" t="s">
        <v>8</v>
      </c>
      <c r="U21" s="1560">
        <f>H21</f>
        <v>100</v>
      </c>
      <c r="V21" s="1559" t="s">
        <v>8</v>
      </c>
      <c r="W21" s="1560">
        <f>J21</f>
        <v>100</v>
      </c>
      <c r="X21" s="1553"/>
      <c r="Y21" s="3437"/>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7"/>
      <c r="M22" s="2117"/>
      <c r="N22" s="2117"/>
      <c r="O22" s="2126"/>
      <c r="P22" s="3437"/>
      <c r="Q22" s="1558"/>
      <c r="R22" s="1559"/>
      <c r="S22" s="1560"/>
      <c r="T22" s="1559"/>
      <c r="U22" s="1560"/>
      <c r="V22" s="1559"/>
      <c r="W22" s="1560"/>
      <c r="X22" s="1553"/>
      <c r="Y22" s="3437"/>
      <c r="Z22" s="1561"/>
      <c r="AA22" s="1562">
        <v>1</v>
      </c>
      <c r="AB22" s="1562">
        <v>1</v>
      </c>
      <c r="AC22" s="1562">
        <v>1</v>
      </c>
    </row>
    <row r="23" spans="1:29" ht="85.5">
      <c r="A23" s="531"/>
      <c r="B23" s="559" t="s">
        <v>540</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7"/>
      <c r="M23" s="2117"/>
      <c r="N23" s="2117"/>
      <c r="O23" s="2126"/>
      <c r="P23" s="3437"/>
      <c r="Q23" s="1558" t="str">
        <f>B23</f>
        <v>交通便捷度</v>
      </c>
      <c r="R23" s="1559" t="s">
        <v>8</v>
      </c>
      <c r="S23" s="1560">
        <f>F23</f>
        <v>100</v>
      </c>
      <c r="T23" s="1559" t="s">
        <v>8</v>
      </c>
      <c r="U23" s="1560">
        <f>H23</f>
        <v>100</v>
      </c>
      <c r="V23" s="1559" t="s">
        <v>8</v>
      </c>
      <c r="W23" s="1560">
        <f>J23</f>
        <v>100</v>
      </c>
      <c r="X23" s="1553"/>
      <c r="Y23" s="3437"/>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7"/>
      <c r="M24" s="2117"/>
      <c r="N24" s="2117"/>
      <c r="O24" s="2126"/>
      <c r="P24" s="3437"/>
      <c r="Q24" s="1558"/>
      <c r="R24" s="1559"/>
      <c r="S24" s="1560"/>
      <c r="T24" s="1559"/>
      <c r="U24" s="1560"/>
      <c r="V24" s="1559"/>
      <c r="W24" s="1560"/>
      <c r="X24" s="1553"/>
      <c r="Y24" s="3437"/>
      <c r="Z24" s="1561"/>
      <c r="AA24" s="1562">
        <v>1</v>
      </c>
      <c r="AB24" s="1562">
        <v>1</v>
      </c>
      <c r="AC24" s="1562">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7"/>
      <c r="M25" s="2117"/>
      <c r="N25" s="2117"/>
      <c r="O25" s="2126"/>
      <c r="P25" s="3437"/>
      <c r="Q25" s="1558" t="str">
        <f t="shared" ref="Q25:Q39" si="8">B25</f>
        <v>区域土地利用方向</v>
      </c>
      <c r="R25" s="1559" t="s">
        <v>8</v>
      </c>
      <c r="S25" s="1560">
        <f>F25</f>
        <v>100</v>
      </c>
      <c r="T25" s="1559" t="s">
        <v>8</v>
      </c>
      <c r="U25" s="1560">
        <f>H25</f>
        <v>100</v>
      </c>
      <c r="V25" s="1559" t="s">
        <v>8</v>
      </c>
      <c r="W25" s="1560">
        <f>J25</f>
        <v>100</v>
      </c>
      <c r="X25" s="1553"/>
      <c r="Y25" s="3437"/>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7"/>
      <c r="M26" s="2117"/>
      <c r="N26" s="2117"/>
      <c r="O26" s="2126"/>
      <c r="P26" s="3437"/>
      <c r="Q26" s="1558"/>
      <c r="R26" s="1559"/>
      <c r="S26" s="1560"/>
      <c r="T26" s="1559"/>
      <c r="U26" s="1560"/>
      <c r="V26" s="1559"/>
      <c r="W26" s="1560"/>
      <c r="X26" s="1553"/>
      <c r="Y26" s="3437"/>
      <c r="Z26" s="1561"/>
      <c r="AA26" s="1562"/>
      <c r="AB26" s="1562"/>
      <c r="AC26" s="1562"/>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7"/>
      <c r="M27" s="2117"/>
      <c r="N27" s="2117"/>
      <c r="O27" s="2126"/>
      <c r="P27" s="3437"/>
      <c r="Q27" s="1558" t="str">
        <f t="shared" si="8"/>
        <v>自然及人文环境状况</v>
      </c>
      <c r="R27" s="1559" t="s">
        <v>8</v>
      </c>
      <c r="S27" s="1560">
        <f>F27</f>
        <v>100</v>
      </c>
      <c r="T27" s="1559" t="s">
        <v>8</v>
      </c>
      <c r="U27" s="1560">
        <f>H27</f>
        <v>100</v>
      </c>
      <c r="V27" s="1559" t="s">
        <v>8</v>
      </c>
      <c r="W27" s="1560">
        <f>J27</f>
        <v>100</v>
      </c>
      <c r="X27" s="1553"/>
      <c r="Y27" s="3437"/>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7"/>
      <c r="M28" s="2117"/>
      <c r="N28" s="2117"/>
      <c r="O28" s="2126"/>
      <c r="P28" s="3437"/>
      <c r="Q28" s="1558"/>
      <c r="R28" s="1559"/>
      <c r="S28" s="1560"/>
      <c r="T28" s="1559"/>
      <c r="U28" s="1560"/>
      <c r="V28" s="1559"/>
      <c r="W28" s="1560"/>
      <c r="X28" s="1553"/>
      <c r="Y28" s="3437"/>
      <c r="Z28" s="1561"/>
      <c r="AA28" s="1562">
        <v>1</v>
      </c>
      <c r="AB28" s="1562">
        <v>1</v>
      </c>
      <c r="AC28" s="1562">
        <v>1</v>
      </c>
    </row>
    <row r="29" spans="1:29" s="1215" customFormat="1" ht="42.75">
      <c r="A29" s="576"/>
      <c r="B29" s="2555"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20"/>
      <c r="M29" s="2117"/>
      <c r="N29" s="2117"/>
      <c r="O29" s="2122"/>
      <c r="P29" s="3437"/>
      <c r="Q29" s="1146" t="str">
        <f t="shared" si="8"/>
        <v>公共配套设施</v>
      </c>
      <c r="R29" s="1554" t="s">
        <v>8</v>
      </c>
      <c r="S29" s="1555">
        <f>F29</f>
        <v>100</v>
      </c>
      <c r="T29" s="1554" t="s">
        <v>8</v>
      </c>
      <c r="U29" s="1555">
        <f>H29</f>
        <v>100</v>
      </c>
      <c r="V29" s="1554" t="s">
        <v>8</v>
      </c>
      <c r="W29" s="1555">
        <f>J29</f>
        <v>100</v>
      </c>
      <c r="X29" s="1556"/>
      <c r="Y29" s="3437"/>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20"/>
      <c r="M30" s="2117"/>
      <c r="N30" s="2117"/>
      <c r="O30" s="2122"/>
      <c r="P30" s="3437"/>
      <c r="Q30" s="1146"/>
      <c r="R30" s="1554"/>
      <c r="S30" s="1555"/>
      <c r="T30" s="1554"/>
      <c r="U30" s="1555"/>
      <c r="V30" s="1554"/>
      <c r="W30" s="1555"/>
      <c r="X30" s="1556"/>
      <c r="Y30" s="3437"/>
      <c r="Z30" s="1145"/>
      <c r="AA30" s="1562">
        <v>1</v>
      </c>
      <c r="AB30" s="1562">
        <v>1</v>
      </c>
      <c r="AC30" s="1562">
        <v>1</v>
      </c>
    </row>
    <row r="31" spans="1:29" s="1215" customFormat="1" ht="28.5">
      <c r="A31" s="576"/>
      <c r="B31" s="2555"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0"/>
      <c r="M31" s="2117"/>
      <c r="N31" s="2117"/>
      <c r="O31" s="2122"/>
      <c r="P31" s="3437"/>
      <c r="Q31" s="2542" t="str">
        <f t="shared" ref="Q31" si="9">B31</f>
        <v>基础设施水平</v>
      </c>
      <c r="R31" s="1554" t="s">
        <v>8</v>
      </c>
      <c r="S31" s="1555">
        <f>F31</f>
        <v>100</v>
      </c>
      <c r="T31" s="1554" t="s">
        <v>8</v>
      </c>
      <c r="U31" s="1555">
        <f>H31</f>
        <v>100</v>
      </c>
      <c r="V31" s="1554" t="s">
        <v>8</v>
      </c>
      <c r="W31" s="1555">
        <f>J31</f>
        <v>100</v>
      </c>
      <c r="X31" s="1556"/>
      <c r="Y31" s="3437"/>
      <c r="Z31" s="2539" t="str">
        <f>Q31</f>
        <v>基础设施水平</v>
      </c>
      <c r="AA31" s="1562">
        <f>D31/F31</f>
        <v>1</v>
      </c>
      <c r="AB31" s="1562">
        <f>D31/H31</f>
        <v>1</v>
      </c>
      <c r="AC31" s="1562">
        <f>D31/J31</f>
        <v>1</v>
      </c>
    </row>
    <row r="32" spans="1:29" s="1215" customFormat="1" ht="20.25">
      <c r="A32" s="576"/>
      <c r="B32" s="565"/>
      <c r="C32" s="578"/>
      <c r="D32" s="556"/>
      <c r="E32" s="2556"/>
      <c r="F32" s="554"/>
      <c r="G32" s="578"/>
      <c r="H32" s="554"/>
      <c r="I32" s="578"/>
      <c r="J32" s="554"/>
      <c r="K32" s="530"/>
      <c r="L32" s="2120"/>
      <c r="M32" s="2117"/>
      <c r="N32" s="2117"/>
      <c r="O32" s="2122"/>
      <c r="P32" s="3437"/>
      <c r="Q32" s="2542"/>
      <c r="R32" s="1554"/>
      <c r="S32" s="1555"/>
      <c r="T32" s="1554"/>
      <c r="U32" s="1555"/>
      <c r="V32" s="1554"/>
      <c r="W32" s="1555"/>
      <c r="X32" s="1556"/>
      <c r="Y32" s="3437"/>
      <c r="Z32" s="2539"/>
      <c r="AA32" s="1562">
        <v>1</v>
      </c>
      <c r="AB32" s="1562">
        <v>1</v>
      </c>
      <c r="AC32" s="1562">
        <v>1</v>
      </c>
    </row>
    <row r="33" spans="1:29" ht="20.25">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3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37"/>
      <c r="Z33" s="1561" t="str">
        <f t="shared" ref="Z33:Z47" si="13">Q33</f>
        <v>临街状况</v>
      </c>
      <c r="AA33" s="1562">
        <f t="shared" si="3"/>
        <v>1</v>
      </c>
      <c r="AB33" s="1562">
        <f t="shared" si="4"/>
        <v>1</v>
      </c>
      <c r="AC33" s="1562">
        <f t="shared" si="5"/>
        <v>1</v>
      </c>
    </row>
    <row r="34" spans="1:29" ht="27">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37"/>
      <c r="Q34" s="1558" t="str">
        <f t="shared" si="8"/>
        <v>毗邻道路的类型与等级</v>
      </c>
      <c r="R34" s="1559" t="s">
        <v>8</v>
      </c>
      <c r="S34" s="1560">
        <f t="shared" si="10"/>
        <v>100</v>
      </c>
      <c r="T34" s="1559" t="s">
        <v>8</v>
      </c>
      <c r="U34" s="1560">
        <f t="shared" si="11"/>
        <v>100</v>
      </c>
      <c r="V34" s="1559" t="s">
        <v>8</v>
      </c>
      <c r="W34" s="1560">
        <f t="shared" si="12"/>
        <v>100</v>
      </c>
      <c r="X34" s="1553"/>
      <c r="Y34" s="3437"/>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7"/>
      <c r="M35" s="2117"/>
      <c r="N35" s="2117"/>
      <c r="O35" s="2126"/>
      <c r="P35" s="3437"/>
      <c r="Q35" s="1558"/>
      <c r="R35" s="1559"/>
      <c r="S35" s="1560"/>
      <c r="T35" s="1559"/>
      <c r="U35" s="1560"/>
      <c r="V35" s="1559"/>
      <c r="W35" s="1560"/>
      <c r="X35" s="1553"/>
      <c r="Y35" s="3437"/>
      <c r="Z35" s="1561"/>
      <c r="AA35" s="1562">
        <v>1</v>
      </c>
      <c r="AB35" s="1562">
        <v>1</v>
      </c>
      <c r="AC35" s="1562">
        <v>1</v>
      </c>
    </row>
    <row r="36" spans="1:29" ht="20.25">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37"/>
      <c r="Q36" s="1558" t="str">
        <f t="shared" si="8"/>
        <v>土地级别</v>
      </c>
      <c r="R36" s="1559" t="s">
        <v>8</v>
      </c>
      <c r="S36" s="1560">
        <f t="shared" si="10"/>
        <v>100</v>
      </c>
      <c r="T36" s="1559" t="s">
        <v>8</v>
      </c>
      <c r="U36" s="1560">
        <f t="shared" si="11"/>
        <v>100</v>
      </c>
      <c r="V36" s="1559" t="s">
        <v>8</v>
      </c>
      <c r="W36" s="1560">
        <f t="shared" si="12"/>
        <v>100</v>
      </c>
      <c r="X36" s="1553"/>
      <c r="Y36" s="3437"/>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37"/>
      <c r="Q37" s="1558">
        <f t="shared" si="8"/>
        <v>111</v>
      </c>
      <c r="R37" s="1559" t="s">
        <v>8</v>
      </c>
      <c r="S37" s="1560">
        <f t="shared" si="10"/>
        <v>100</v>
      </c>
      <c r="T37" s="1559" t="s">
        <v>8</v>
      </c>
      <c r="U37" s="1560">
        <f t="shared" si="11"/>
        <v>100</v>
      </c>
      <c r="V37" s="1559" t="s">
        <v>8</v>
      </c>
      <c r="W37" s="1560">
        <f t="shared" si="12"/>
        <v>100</v>
      </c>
      <c r="X37" s="1553"/>
      <c r="Y37" s="3437"/>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38" t="s">
        <v>547</v>
      </c>
      <c r="Q38" s="1558">
        <f t="shared" si="8"/>
        <v>111</v>
      </c>
      <c r="R38" s="1559" t="s">
        <v>8</v>
      </c>
      <c r="S38" s="1560">
        <f t="shared" si="10"/>
        <v>100</v>
      </c>
      <c r="T38" s="1559" t="s">
        <v>8</v>
      </c>
      <c r="U38" s="1560">
        <f t="shared" si="11"/>
        <v>100</v>
      </c>
      <c r="V38" s="1559" t="s">
        <v>8</v>
      </c>
      <c r="W38" s="1560">
        <f t="shared" si="12"/>
        <v>100</v>
      </c>
      <c r="X38" s="1553"/>
      <c r="Y38" s="3439" t="s">
        <v>547</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39"/>
      <c r="Q39" s="1558">
        <f t="shared" si="8"/>
        <v>111</v>
      </c>
      <c r="R39" s="1563" t="s">
        <v>8</v>
      </c>
      <c r="S39" s="1564">
        <f t="shared" si="10"/>
        <v>100</v>
      </c>
      <c r="T39" s="1563" t="s">
        <v>8</v>
      </c>
      <c r="U39" s="1564">
        <f t="shared" si="11"/>
        <v>100</v>
      </c>
      <c r="V39" s="1563" t="s">
        <v>8</v>
      </c>
      <c r="W39" s="1564">
        <f t="shared" si="12"/>
        <v>100</v>
      </c>
      <c r="X39" s="1565"/>
      <c r="Y39" s="3439"/>
      <c r="Z39" s="1566">
        <f t="shared" si="13"/>
        <v>111</v>
      </c>
      <c r="AA39" s="1562">
        <f t="shared" si="3"/>
        <v>1</v>
      </c>
      <c r="AB39" s="1562">
        <f t="shared" si="4"/>
        <v>1</v>
      </c>
      <c r="AC39" s="1562">
        <f t="shared" si="5"/>
        <v>1</v>
      </c>
    </row>
    <row r="40" spans="1:29" ht="20.25">
      <c r="A40" s="2862" t="s">
        <v>2752</v>
      </c>
      <c r="B40" s="594" t="s">
        <v>549</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7"/>
      <c r="M40" s="2117"/>
      <c r="N40" s="2117"/>
      <c r="O40" s="2126"/>
      <c r="P40" s="3439"/>
      <c r="Q40" s="1558" t="str">
        <f>B40</f>
        <v>宗地面积</v>
      </c>
      <c r="R40" s="1559" t="s">
        <v>8</v>
      </c>
      <c r="S40" s="1560" t="e">
        <f t="shared" si="10"/>
        <v>#N/A</v>
      </c>
      <c r="T40" s="1559" t="s">
        <v>8</v>
      </c>
      <c r="U40" s="1560" t="e">
        <f t="shared" si="11"/>
        <v>#N/A</v>
      </c>
      <c r="V40" s="1559" t="s">
        <v>8</v>
      </c>
      <c r="W40" s="1560" t="e">
        <f t="shared" si="12"/>
        <v>#N/A</v>
      </c>
      <c r="X40" s="1553"/>
      <c r="Y40" s="3439"/>
      <c r="Z40" s="1561" t="str">
        <f t="shared" si="13"/>
        <v>宗地面积</v>
      </c>
      <c r="AA40" s="1562" t="e">
        <f t="shared" si="3"/>
        <v>#N/A</v>
      </c>
      <c r="AB40" s="1562" t="e">
        <f t="shared" si="4"/>
        <v>#N/A</v>
      </c>
      <c r="AC40" s="1562" t="e">
        <f t="shared" si="5"/>
        <v>#N/A</v>
      </c>
    </row>
    <row r="41" spans="1:29" ht="20.25">
      <c r="A41" s="593"/>
      <c r="B41" s="526" t="s">
        <v>550</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7"/>
      <c r="M41" s="2117"/>
      <c r="N41" s="2117"/>
      <c r="O41" s="2126"/>
      <c r="P41" s="3439"/>
      <c r="Q41" s="1558" t="str">
        <f t="shared" ref="Q41:Q47" si="14">B41</f>
        <v>宗地形状</v>
      </c>
      <c r="R41" s="1559" t="s">
        <v>8</v>
      </c>
      <c r="S41" s="1560">
        <f t="shared" si="10"/>
        <v>100</v>
      </c>
      <c r="T41" s="1559" t="s">
        <v>8</v>
      </c>
      <c r="U41" s="1560">
        <f t="shared" si="11"/>
        <v>100</v>
      </c>
      <c r="V41" s="1559" t="s">
        <v>8</v>
      </c>
      <c r="W41" s="1560">
        <f t="shared" si="12"/>
        <v>100</v>
      </c>
      <c r="X41" s="1553"/>
      <c r="Y41" s="3439"/>
      <c r="Z41" s="1561" t="str">
        <f t="shared" si="13"/>
        <v>宗地形状</v>
      </c>
      <c r="AA41" s="1562">
        <f t="shared" si="3"/>
        <v>1</v>
      </c>
      <c r="AB41" s="1562">
        <f t="shared" si="4"/>
        <v>1</v>
      </c>
      <c r="AC41" s="1562">
        <f t="shared" si="5"/>
        <v>1</v>
      </c>
    </row>
    <row r="42" spans="1:29" ht="20.25">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7"/>
      <c r="M42" s="2117"/>
      <c r="N42" s="2117"/>
      <c r="O42" s="2126"/>
      <c r="P42" s="3439"/>
      <c r="Q42" s="1558" t="str">
        <f t="shared" si="14"/>
        <v>临街宽度及深度</v>
      </c>
      <c r="R42" s="1559" t="s">
        <v>8</v>
      </c>
      <c r="S42" s="1560">
        <f t="shared" si="10"/>
        <v>100</v>
      </c>
      <c r="T42" s="1559" t="s">
        <v>8</v>
      </c>
      <c r="U42" s="1560">
        <f t="shared" si="11"/>
        <v>100</v>
      </c>
      <c r="V42" s="1559" t="s">
        <v>8</v>
      </c>
      <c r="W42" s="1560">
        <f t="shared" si="12"/>
        <v>100</v>
      </c>
      <c r="X42" s="1553"/>
      <c r="Y42" s="3439"/>
      <c r="Z42" s="1561" t="str">
        <f t="shared" si="13"/>
        <v>临街宽度及深度</v>
      </c>
      <c r="AA42" s="1562">
        <f t="shared" si="3"/>
        <v>1</v>
      </c>
      <c r="AB42" s="1562">
        <f t="shared" si="4"/>
        <v>1</v>
      </c>
      <c r="AC42" s="1562">
        <f t="shared" si="5"/>
        <v>1</v>
      </c>
    </row>
    <row r="43" spans="1:29" s="1215" customFormat="1" ht="20.25">
      <c r="A43" s="599"/>
      <c r="B43" s="1880"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20"/>
      <c r="M43" s="2117"/>
      <c r="N43" s="2117"/>
      <c r="O43" s="2122"/>
      <c r="P43" s="3439"/>
      <c r="Q43" s="1558" t="str">
        <f t="shared" si="14"/>
        <v>宗地开发程度</v>
      </c>
      <c r="R43" s="1554" t="s">
        <v>8</v>
      </c>
      <c r="S43" s="1555">
        <f t="shared" si="10"/>
        <v>100</v>
      </c>
      <c r="T43" s="1554" t="s">
        <v>8</v>
      </c>
      <c r="U43" s="1555">
        <f t="shared" si="11"/>
        <v>100</v>
      </c>
      <c r="V43" s="1554" t="s">
        <v>8</v>
      </c>
      <c r="W43" s="1555">
        <f t="shared" si="12"/>
        <v>100</v>
      </c>
      <c r="X43" s="1556"/>
      <c r="Y43" s="3439"/>
      <c r="Z43" s="1145" t="str">
        <f t="shared" si="13"/>
        <v>宗地开发程度</v>
      </c>
      <c r="AA43" s="1557">
        <f t="shared" si="3"/>
        <v>1</v>
      </c>
      <c r="AB43" s="1557">
        <f t="shared" si="4"/>
        <v>1</v>
      </c>
      <c r="AC43" s="1557">
        <f t="shared" si="5"/>
        <v>1</v>
      </c>
    </row>
    <row r="44" spans="1:29" ht="20.25">
      <c r="A44" s="593"/>
      <c r="B44" s="526" t="s">
        <v>552</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439" t="s">
        <v>547</v>
      </c>
      <c r="Q44" s="1558" t="str">
        <f t="shared" si="14"/>
        <v>工程地质条件</v>
      </c>
      <c r="R44" s="1559" t="s">
        <v>8</v>
      </c>
      <c r="S44" s="1560">
        <f t="shared" si="10"/>
        <v>100</v>
      </c>
      <c r="T44" s="1559" t="s">
        <v>8</v>
      </c>
      <c r="U44" s="1560">
        <f t="shared" si="11"/>
        <v>100</v>
      </c>
      <c r="V44" s="1559" t="s">
        <v>8</v>
      </c>
      <c r="W44" s="1560">
        <f t="shared" si="12"/>
        <v>100</v>
      </c>
      <c r="X44" s="1553"/>
      <c r="Y44" s="3439" t="s">
        <v>547</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39"/>
      <c r="Q45" s="1558">
        <f t="shared" si="14"/>
        <v>111</v>
      </c>
      <c r="R45" s="1559" t="s">
        <v>8</v>
      </c>
      <c r="S45" s="1560">
        <f t="shared" si="10"/>
        <v>100</v>
      </c>
      <c r="T45" s="1559" t="s">
        <v>8</v>
      </c>
      <c r="U45" s="1560">
        <f t="shared" si="11"/>
        <v>100</v>
      </c>
      <c r="V45" s="1559" t="s">
        <v>8</v>
      </c>
      <c r="W45" s="1560">
        <f t="shared" si="12"/>
        <v>100</v>
      </c>
      <c r="X45" s="1553"/>
      <c r="Y45" s="3439"/>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39"/>
      <c r="Q46" s="1558">
        <f t="shared" si="14"/>
        <v>111</v>
      </c>
      <c r="R46" s="1559" t="s">
        <v>8</v>
      </c>
      <c r="S46" s="1560">
        <f t="shared" si="10"/>
        <v>100</v>
      </c>
      <c r="T46" s="1559" t="s">
        <v>8</v>
      </c>
      <c r="U46" s="1560">
        <f t="shared" si="11"/>
        <v>100</v>
      </c>
      <c r="V46" s="1559" t="s">
        <v>8</v>
      </c>
      <c r="W46" s="1560">
        <f t="shared" si="12"/>
        <v>100</v>
      </c>
      <c r="X46" s="1553"/>
      <c r="Y46" s="3439"/>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39"/>
      <c r="Q47" s="1558">
        <f t="shared" si="14"/>
        <v>111</v>
      </c>
      <c r="R47" s="1563" t="s">
        <v>8</v>
      </c>
      <c r="S47" s="1564">
        <f t="shared" si="10"/>
        <v>100</v>
      </c>
      <c r="T47" s="1563" t="s">
        <v>8</v>
      </c>
      <c r="U47" s="1564">
        <f t="shared" si="11"/>
        <v>100</v>
      </c>
      <c r="V47" s="1563" t="s">
        <v>8</v>
      </c>
      <c r="W47" s="1564">
        <f t="shared" si="12"/>
        <v>100</v>
      </c>
      <c r="X47" s="1565"/>
      <c r="Y47" s="3439"/>
      <c r="Z47" s="1566">
        <f t="shared" si="13"/>
        <v>111</v>
      </c>
      <c r="AA47" s="1562">
        <f t="shared" si="3"/>
        <v>1</v>
      </c>
      <c r="AB47" s="1562">
        <f t="shared" si="4"/>
        <v>1</v>
      </c>
      <c r="AC47" s="1562">
        <f t="shared" si="5"/>
        <v>1</v>
      </c>
    </row>
    <row r="48" spans="1:29" ht="20.25">
      <c r="A48" s="606" t="s">
        <v>553</v>
      </c>
      <c r="B48" s="607" t="s">
        <v>2932</v>
      </c>
      <c r="C48" s="608" t="s">
        <v>1</v>
      </c>
      <c r="D48" s="609"/>
      <c r="E48" s="610"/>
      <c r="F48" s="611"/>
      <c r="G48" s="612"/>
      <c r="H48" s="613"/>
      <c r="I48" s="610"/>
      <c r="J48" s="613"/>
      <c r="K48" s="1335"/>
      <c r="L48" s="2129"/>
      <c r="M48" s="2117"/>
      <c r="N48" s="2117"/>
      <c r="O48" s="2130"/>
      <c r="P48" s="3434" t="str">
        <f>A48</f>
        <v>成交单价</v>
      </c>
      <c r="Q48" s="3434"/>
      <c r="R48" s="3448">
        <f>E48</f>
        <v>0</v>
      </c>
      <c r="S48" s="3448"/>
      <c r="T48" s="3448">
        <f>G48</f>
        <v>0</v>
      </c>
      <c r="U48" s="3448"/>
      <c r="V48" s="3448">
        <f>I48</f>
        <v>0</v>
      </c>
      <c r="W48" s="3448"/>
      <c r="X48" s="1545"/>
      <c r="Y48" s="1567"/>
      <c r="Z48" s="1545"/>
      <c r="AA48" s="1545"/>
      <c r="AB48" s="1545"/>
      <c r="AC48" s="1545"/>
    </row>
    <row r="49" spans="1:29" ht="21" thickBot="1">
      <c r="A49" s="614" t="s">
        <v>2690</v>
      </c>
      <c r="B49" s="615"/>
      <c r="C49" s="616" t="e">
        <f>R50</f>
        <v>#DIV/0!</v>
      </c>
      <c r="D49" s="617"/>
      <c r="E49" s="616" t="e">
        <f>R49</f>
        <v>#DIV/0!</v>
      </c>
      <c r="F49" s="618"/>
      <c r="G49" s="619" t="e">
        <f>T49</f>
        <v>#DIV/0!</v>
      </c>
      <c r="H49" s="617"/>
      <c r="I49" s="616" t="e">
        <f>V49</f>
        <v>#DIV/0!</v>
      </c>
      <c r="J49" s="617"/>
      <c r="K49" s="1336"/>
      <c r="L49" s="2129"/>
      <c r="M49" s="2117"/>
      <c r="N49" s="2117"/>
      <c r="O49" s="2130"/>
      <c r="P49" s="3434" t="str">
        <f>A49</f>
        <v>比较价格（元/平方米）</v>
      </c>
      <c r="Q49" s="3434"/>
      <c r="R49" s="3458" t="e">
        <f>ROUND(PRODUCT(R48,AA9:AA47),0)</f>
        <v>#DIV/0!</v>
      </c>
      <c r="S49" s="3458"/>
      <c r="T49" s="3458" t="e">
        <f>ROUND(PRODUCT(T48,AB9:AB47),0)</f>
        <v>#DIV/0!</v>
      </c>
      <c r="U49" s="3458"/>
      <c r="V49" s="3458" t="e">
        <f>ROUND(PRODUCT(V48,AC9:AC47),0)</f>
        <v>#DIV/0!</v>
      </c>
      <c r="W49" s="3458"/>
      <c r="X49" s="1545"/>
      <c r="Y49" s="1545"/>
      <c r="Z49" s="1545"/>
      <c r="AA49" s="1545"/>
      <c r="AB49" s="1545"/>
      <c r="AC49" s="1545"/>
    </row>
    <row r="50" spans="1:29" ht="21" thickBot="1">
      <c r="A50" s="620" t="s">
        <v>2933</v>
      </c>
      <c r="B50" s="621"/>
      <c r="C50" s="622" t="e">
        <f>R50</f>
        <v>#DIV/0!</v>
      </c>
      <c r="D50" s="622"/>
      <c r="E50" s="622"/>
      <c r="F50" s="622"/>
      <c r="G50" s="622"/>
      <c r="H50" s="622"/>
      <c r="I50" s="622"/>
      <c r="J50" s="622"/>
      <c r="K50" s="1337"/>
      <c r="L50" s="2129"/>
      <c r="M50" s="2117"/>
      <c r="N50" s="2117"/>
      <c r="O50" s="2130"/>
      <c r="P50" s="3455" t="str">
        <f>A50</f>
        <v>估价对象XX用房的比较价格（楼面单价，元/平方米）</v>
      </c>
      <c r="Q50" s="3456"/>
      <c r="R50" s="3457" t="e">
        <f>ROUND(AVERAGE(R49:V49),0)</f>
        <v>#DIV/0!</v>
      </c>
      <c r="S50" s="3457"/>
      <c r="T50" s="3457"/>
      <c r="U50" s="3457"/>
      <c r="V50" s="3457"/>
      <c r="W50" s="3457"/>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557</v>
      </c>
      <c r="B57" s="629" t="s">
        <v>558</v>
      </c>
      <c r="C57" s="1546" t="s">
        <v>1721</v>
      </c>
      <c r="D57" s="2212" t="s">
        <v>2290</v>
      </c>
      <c r="E57" s="630" t="s">
        <v>559</v>
      </c>
      <c r="F57" s="631" t="s">
        <v>560</v>
      </c>
      <c r="G57" s="3418" t="s">
        <v>2278</v>
      </c>
      <c r="H57" s="3419"/>
      <c r="I57" s="1541" t="s">
        <v>1719</v>
      </c>
      <c r="J57" s="1541">
        <f>项目基本情况!F41</f>
        <v>0</v>
      </c>
      <c r="K57" s="2139" t="s">
        <v>1720</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561</v>
      </c>
      <c r="B58" s="633" t="e">
        <f>C50</f>
        <v>#DIV/0!</v>
      </c>
      <c r="C58" s="634">
        <v>1</v>
      </c>
      <c r="D58" s="2213">
        <v>1</v>
      </c>
      <c r="E58" s="634">
        <f>'数据-汇总表'!E8+'数据-汇总表'!E9</f>
        <v>4100</v>
      </c>
      <c r="F58" s="635" t="e">
        <f t="shared" ref="F58:F67" si="15">ROUND(B58*E58/10000,0)</f>
        <v>#DIV/0!</v>
      </c>
      <c r="G58" s="3420"/>
      <c r="H58" s="342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562</v>
      </c>
      <c r="B59" s="637" t="e">
        <f>ROUND($C$50*C59*D59,0)</f>
        <v>#DIV/0!</v>
      </c>
      <c r="C59" s="377">
        <f t="shared" ref="C59:C67" si="16">IF($C$57="北京市系数",I59,J59)</f>
        <v>0.6</v>
      </c>
      <c r="D59" s="2214">
        <v>0.25</v>
      </c>
      <c r="E59" s="638">
        <v>0</v>
      </c>
      <c r="F59" s="635" t="e">
        <f t="shared" si="15"/>
        <v>#DIV/0!</v>
      </c>
      <c r="G59" s="3422" t="s">
        <v>2279</v>
      </c>
      <c r="H59" s="1933" t="str">
        <f>项目基本情况!B43</f>
        <v>十级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563</v>
      </c>
      <c r="B60" s="637" t="e">
        <f t="shared" ref="B60:B67" si="17">ROUND($C$50*C60*D60,0)</f>
        <v>#DIV/0!</v>
      </c>
      <c r="C60" s="377">
        <f t="shared" si="16"/>
        <v>0.3</v>
      </c>
      <c r="D60" s="2214">
        <v>0.25</v>
      </c>
      <c r="E60" s="638">
        <v>0</v>
      </c>
      <c r="F60" s="635" t="e">
        <f t="shared" si="15"/>
        <v>#DIV/0!</v>
      </c>
      <c r="G60" s="3422"/>
      <c r="H60" s="1933" t="str">
        <f>项目基本情况!B43</f>
        <v>十级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564</v>
      </c>
      <c r="B61" s="637" t="e">
        <f t="shared" si="17"/>
        <v>#DIV/0!</v>
      </c>
      <c r="C61" s="377">
        <f t="shared" si="16"/>
        <v>0.2</v>
      </c>
      <c r="D61" s="2214">
        <v>0.25</v>
      </c>
      <c r="E61" s="638">
        <v>0</v>
      </c>
      <c r="F61" s="635" t="e">
        <f t="shared" si="15"/>
        <v>#DIV/0!</v>
      </c>
      <c r="G61" s="3422"/>
      <c r="H61" s="1933" t="str">
        <f>项目基本情况!B43</f>
        <v>十级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565</v>
      </c>
      <c r="B62" s="637" t="e">
        <f t="shared" si="17"/>
        <v>#DIV/0!</v>
      </c>
      <c r="C62" s="377">
        <f t="shared" si="16"/>
        <v>0.2</v>
      </c>
      <c r="D62" s="2214">
        <v>0.25</v>
      </c>
      <c r="E62" s="638">
        <v>0</v>
      </c>
      <c r="F62" s="635" t="e">
        <f t="shared" si="15"/>
        <v>#DIV/0!</v>
      </c>
      <c r="G62" s="3422"/>
      <c r="H62" s="1933" t="str">
        <f>项目基本情况!B43</f>
        <v>十级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7" t="e">
        <f t="shared" si="17"/>
        <v>#DIV/0!</v>
      </c>
      <c r="C63" s="377">
        <f t="shared" si="16"/>
        <v>0.2</v>
      </c>
      <c r="D63" s="2214">
        <v>0.25</v>
      </c>
      <c r="E63" s="640">
        <f>'数据-汇总表'!E11</f>
        <v>0</v>
      </c>
      <c r="F63" s="635" t="e">
        <f t="shared" si="15"/>
        <v>#DIV/0!</v>
      </c>
      <c r="G63" s="1930" t="s">
        <v>2280</v>
      </c>
      <c r="H63" s="1933" t="str">
        <f>项目基本情况!C43</f>
        <v>十级</v>
      </c>
      <c r="I63" s="1542">
        <f>SUMIF(修正!$A$45:$A$56,H63,修正!F45:F56)</f>
        <v>0.2</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566</v>
      </c>
      <c r="B64" s="637" t="e">
        <f t="shared" si="17"/>
        <v>#DIV/0!</v>
      </c>
      <c r="C64" s="377">
        <f t="shared" si="16"/>
        <v>0.2</v>
      </c>
      <c r="D64" s="2214">
        <v>0.25</v>
      </c>
      <c r="E64" s="640">
        <f>'数据-汇总表'!E12</f>
        <v>0</v>
      </c>
      <c r="F64" s="635" t="e">
        <f t="shared" si="15"/>
        <v>#DIV/0!</v>
      </c>
      <c r="G64" s="1931" t="s">
        <v>1674</v>
      </c>
      <c r="H64" s="1929" t="str">
        <f>IF(G64="商业",项目基本情况!B43,IF(G64="办公",项目基本情况!C43,IF(G64="住宅",项目基本情况!D43,项目基本情况!E43)))</f>
        <v>十级</v>
      </c>
      <c r="I64" s="1542">
        <f>SUMIF(修正!$A$45:$A$56,H64,修正!G45:G56)</f>
        <v>0.2</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567</v>
      </c>
      <c r="B65" s="637" t="e">
        <f t="shared" si="17"/>
        <v>#DIV/0!</v>
      </c>
      <c r="C65" s="377">
        <f t="shared" si="16"/>
        <v>0</v>
      </c>
      <c r="D65" s="2214">
        <v>0.25</v>
      </c>
      <c r="E65" s="640">
        <f>'数据-汇总表'!E13</f>
        <v>0</v>
      </c>
      <c r="F65" s="635" t="e">
        <f t="shared" si="15"/>
        <v>#DIV/0!</v>
      </c>
      <c r="G65" s="1931" t="s">
        <v>920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568</v>
      </c>
      <c r="B66" s="637" t="e">
        <f t="shared" si="17"/>
        <v>#DIV/0!</v>
      </c>
      <c r="C66" s="377">
        <f t="shared" si="16"/>
        <v>0.15</v>
      </c>
      <c r="D66" s="2214">
        <v>0.25</v>
      </c>
      <c r="E66" s="640">
        <f>'数据-汇总表'!E14</f>
        <v>0</v>
      </c>
      <c r="F66" s="635" t="e">
        <f t="shared" si="15"/>
        <v>#DIV/0!</v>
      </c>
      <c r="G66" s="1930" t="s">
        <v>2279</v>
      </c>
      <c r="H66" s="1933" t="str">
        <f>项目基本情况!B43</f>
        <v>十级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569</v>
      </c>
      <c r="B67" s="637" t="e">
        <f t="shared" si="17"/>
        <v>#DIV/0!</v>
      </c>
      <c r="C67" s="377">
        <f t="shared" si="16"/>
        <v>0.15</v>
      </c>
      <c r="D67" s="2214">
        <v>0.25</v>
      </c>
      <c r="E67" s="640">
        <f>'数据-汇总表'!E15</f>
        <v>0</v>
      </c>
      <c r="F67" s="635" t="e">
        <f t="shared" si="15"/>
        <v>#DIV/0!</v>
      </c>
      <c r="G67" s="1932" t="s">
        <v>2280</v>
      </c>
      <c r="H67" s="1934" t="str">
        <f>项目基本情况!C43</f>
        <v>十级</v>
      </c>
      <c r="I67" s="1542">
        <f>SUMIF(修正!$A$45:$A$56,H67,修正!H45:H56)</f>
        <v>0.15</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570</v>
      </c>
      <c r="B68" s="642" t="s">
        <v>17</v>
      </c>
      <c r="C68" s="642" t="s">
        <v>18</v>
      </c>
      <c r="D68" s="642" t="s">
        <v>2291</v>
      </c>
      <c r="E68" s="642">
        <f>IF(B48="楼面地价",SUM(E58:E67),'数据-汇总表'!D3)</f>
        <v>40700</v>
      </c>
      <c r="F68" s="643"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8" t="str">
        <f>"北京市平均增长率"&amp;TEXT(SUMIF('基准地价（娱乐）'!N21:N25,A73,'基准地价（娱乐）'!P21:P25),"0.00%")</f>
        <v>北京市平均增长率2.04%</v>
      </c>
      <c r="C73" s="893">
        <v>100</v>
      </c>
      <c r="D73" s="729"/>
      <c r="E73" s="729"/>
      <c r="F73" s="729"/>
      <c r="G73" s="729"/>
      <c r="H73" s="729"/>
      <c r="I73" s="729"/>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528</v>
      </c>
      <c r="B75" s="647"/>
      <c r="C75" s="659" t="s">
        <v>573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574</v>
      </c>
      <c r="B77" s="664" t="s">
        <v>531</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535</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c r="D82" s="540"/>
      <c r="E82" s="540"/>
      <c r="F82" s="540"/>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536</v>
      </c>
      <c r="B90" s="664" t="s">
        <v>575</v>
      </c>
      <c r="C90" s="702" t="s">
        <v>576</v>
      </c>
      <c r="D90" s="702" t="s">
        <v>577</v>
      </c>
      <c r="E90" s="702" t="s">
        <v>578</v>
      </c>
      <c r="F90" s="702" t="s">
        <v>579</v>
      </c>
      <c r="G90" s="702" t="s">
        <v>580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581</v>
      </c>
      <c r="C92" s="707" t="s">
        <v>576</v>
      </c>
      <c r="D92" s="707" t="s">
        <v>577</v>
      </c>
      <c r="E92" s="707" t="s">
        <v>578</v>
      </c>
      <c r="F92" s="707" t="s">
        <v>579</v>
      </c>
      <c r="G92" s="707" t="s">
        <v>580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582</v>
      </c>
      <c r="C94" s="707" t="s">
        <v>576</v>
      </c>
      <c r="D94" s="707" t="s">
        <v>577</v>
      </c>
      <c r="E94" s="707" t="s">
        <v>578</v>
      </c>
      <c r="F94" s="707" t="s">
        <v>579</v>
      </c>
      <c r="G94" s="707" t="s">
        <v>580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583</v>
      </c>
      <c r="C96" s="707" t="s">
        <v>576</v>
      </c>
      <c r="D96" s="707" t="s">
        <v>577</v>
      </c>
      <c r="E96" s="707" t="s">
        <v>578</v>
      </c>
      <c r="F96" s="707" t="s">
        <v>579</v>
      </c>
      <c r="G96" s="707" t="s">
        <v>580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584</v>
      </c>
      <c r="C98" s="707" t="s">
        <v>576</v>
      </c>
      <c r="D98" s="707" t="s">
        <v>577</v>
      </c>
      <c r="E98" s="707" t="s">
        <v>578</v>
      </c>
      <c r="F98" s="707" t="s">
        <v>579</v>
      </c>
      <c r="G98" s="707" t="s">
        <v>580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585</v>
      </c>
      <c r="C100" s="702" t="s">
        <v>576</v>
      </c>
      <c r="D100" s="702" t="s">
        <v>577</v>
      </c>
      <c r="E100" s="702" t="s">
        <v>578</v>
      </c>
      <c r="F100" s="702" t="s">
        <v>579</v>
      </c>
      <c r="G100" s="702" t="s">
        <v>580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2545</v>
      </c>
      <c r="C102" s="702" t="s">
        <v>576</v>
      </c>
      <c r="D102" s="702" t="s">
        <v>577</v>
      </c>
      <c r="E102" s="702" t="s">
        <v>578</v>
      </c>
      <c r="F102" s="702" t="s">
        <v>579</v>
      </c>
      <c r="G102" s="702" t="s">
        <v>580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2547</v>
      </c>
      <c r="C104" s="2562" t="s">
        <v>2548</v>
      </c>
      <c r="D104" s="2562" t="s">
        <v>2549</v>
      </c>
      <c r="E104" s="2562" t="s">
        <v>2550</v>
      </c>
      <c r="F104" s="2562" t="s">
        <v>2551</v>
      </c>
      <c r="G104" s="2562" t="s">
        <v>2552</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545</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546</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c r="A118" s="663" t="s">
        <v>548</v>
      </c>
      <c r="B118" s="664" t="s">
        <v>590</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c r="D119" s="729"/>
      <c r="E119" s="729"/>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c r="D120" s="725"/>
      <c r="E120" s="725"/>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591</v>
      </c>
      <c r="C121" s="717"/>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592</v>
      </c>
      <c r="C123" s="687"/>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2422</v>
      </c>
      <c r="C125" s="1371"/>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593</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513</v>
      </c>
      <c r="B1" s="502"/>
      <c r="C1" s="503" t="s">
        <v>594</v>
      </c>
      <c r="D1" s="504" t="s">
        <v>515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1682</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517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518</v>
      </c>
      <c r="B6" s="512"/>
      <c r="C6" s="3440" t="s">
        <v>519</v>
      </c>
      <c r="D6" s="3441"/>
      <c r="E6" s="3464" t="s">
        <v>520</v>
      </c>
      <c r="F6" s="3465"/>
      <c r="G6" s="3440" t="s">
        <v>521</v>
      </c>
      <c r="H6" s="3441"/>
      <c r="I6" s="3440" t="s">
        <v>522</v>
      </c>
      <c r="J6" s="3441"/>
      <c r="K6" s="513" t="s">
        <v>523</v>
      </c>
      <c r="L6" s="2118"/>
      <c r="M6" s="2119"/>
      <c r="N6" s="2119"/>
      <c r="O6" s="2119"/>
      <c r="P6" s="3442" t="s">
        <v>524</v>
      </c>
      <c r="Q6" s="3443"/>
      <c r="R6" s="3428" t="s">
        <v>520</v>
      </c>
      <c r="S6" s="3429"/>
      <c r="T6" s="3428" t="s">
        <v>521</v>
      </c>
      <c r="U6" s="3429"/>
      <c r="V6" s="3448" t="s">
        <v>522</v>
      </c>
      <c r="W6" s="3448"/>
      <c r="X6" s="1553"/>
      <c r="Y6" s="3428" t="s">
        <v>524</v>
      </c>
      <c r="Z6" s="3429"/>
      <c r="AA6" s="3423" t="s">
        <v>520</v>
      </c>
      <c r="AB6" s="3424" t="s">
        <v>521</v>
      </c>
      <c r="AC6" s="3423" t="s">
        <v>522</v>
      </c>
    </row>
    <row r="7" spans="1:29" ht="15">
      <c r="A7" s="514"/>
      <c r="B7" s="515"/>
      <c r="C7" s="3451" t="s">
        <v>2927</v>
      </c>
      <c r="D7" s="3452"/>
      <c r="E7" s="3466" t="s">
        <v>2928</v>
      </c>
      <c r="F7" s="3467"/>
      <c r="G7" s="3451" t="s">
        <v>2929</v>
      </c>
      <c r="H7" s="3452"/>
      <c r="I7" s="3451" t="s">
        <v>2930</v>
      </c>
      <c r="J7" s="3452"/>
      <c r="K7" s="513"/>
      <c r="L7" s="2118"/>
      <c r="M7" s="2119"/>
      <c r="N7" s="2119"/>
      <c r="O7" s="2119"/>
      <c r="P7" s="3444"/>
      <c r="Q7" s="3445"/>
      <c r="R7" s="3430"/>
      <c r="S7" s="3431"/>
      <c r="T7" s="3430"/>
      <c r="U7" s="3431"/>
      <c r="V7" s="3448"/>
      <c r="W7" s="3448"/>
      <c r="X7" s="1553"/>
      <c r="Y7" s="3430"/>
      <c r="Z7" s="3431"/>
      <c r="AA7" s="3424"/>
      <c r="AB7" s="3424"/>
      <c r="AC7" s="3424"/>
    </row>
    <row r="8" spans="1:29" ht="15.75" thickBot="1">
      <c r="A8" s="516"/>
      <c r="B8" s="517"/>
      <c r="C8" s="3449" t="s">
        <v>2931</v>
      </c>
      <c r="D8" s="3450"/>
      <c r="E8" s="3468" t="s">
        <v>2931</v>
      </c>
      <c r="F8" s="3469"/>
      <c r="G8" s="3449" t="s">
        <v>2931</v>
      </c>
      <c r="H8" s="3450"/>
      <c r="I8" s="3449" t="s">
        <v>2931</v>
      </c>
      <c r="J8" s="3450"/>
      <c r="K8" s="513" t="s">
        <v>525</v>
      </c>
      <c r="L8" s="2118"/>
      <c r="M8" s="2119"/>
      <c r="N8" s="2119"/>
      <c r="O8" s="2119"/>
      <c r="P8" s="3446"/>
      <c r="Q8" s="3447"/>
      <c r="R8" s="3430"/>
      <c r="S8" s="3431"/>
      <c r="T8" s="3432"/>
      <c r="U8" s="3433"/>
      <c r="V8" s="3448"/>
      <c r="W8" s="3448"/>
      <c r="X8" s="1553"/>
      <c r="Y8" s="3432"/>
      <c r="Z8" s="3433"/>
      <c r="AA8" s="3425"/>
      <c r="AB8" s="3425"/>
      <c r="AC8" s="3425"/>
    </row>
    <row r="9" spans="1:29" s="1215" customFormat="1" ht="15.75" thickBot="1">
      <c r="A9" s="2867"/>
      <c r="B9" s="2874" t="s">
        <v>526</v>
      </c>
      <c r="C9" s="518">
        <f>'数据-取费表'!B2</f>
        <v>43700</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26" t="s">
        <v>527</v>
      </c>
      <c r="Q9" s="3435"/>
      <c r="R9" s="1554" t="s">
        <v>8</v>
      </c>
      <c r="S9" s="1555">
        <f t="shared" ref="S9:S17" si="0">F9</f>
        <v>0</v>
      </c>
      <c r="T9" s="1554" t="s">
        <v>8</v>
      </c>
      <c r="U9" s="1555">
        <f t="shared" ref="U9:U17" si="1">H9</f>
        <v>0</v>
      </c>
      <c r="V9" s="1554" t="s">
        <v>8</v>
      </c>
      <c r="W9" s="1555">
        <f t="shared" ref="W9:W17" si="2">J9</f>
        <v>0</v>
      </c>
      <c r="X9" s="1556"/>
      <c r="Y9" s="3426" t="s">
        <v>527</v>
      </c>
      <c r="Z9" s="3427"/>
      <c r="AA9" s="1557" t="e">
        <f>D9/F9</f>
        <v>#DIV/0!</v>
      </c>
      <c r="AB9" s="1557" t="e">
        <f>D9/H9</f>
        <v>#DIV/0!</v>
      </c>
      <c r="AC9" s="1557" t="e">
        <f>D9/J9</f>
        <v>#DIV/0!</v>
      </c>
    </row>
    <row r="10" spans="1:29" s="1215" customFormat="1" ht="15.75" thickBot="1">
      <c r="A10" s="2868"/>
      <c r="B10" s="2875"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26" t="s">
        <v>530</v>
      </c>
      <c r="Q10" s="3427"/>
      <c r="R10" s="1554" t="s">
        <v>8</v>
      </c>
      <c r="S10" s="1555">
        <f t="shared" si="0"/>
        <v>0</v>
      </c>
      <c r="T10" s="1554" t="s">
        <v>8</v>
      </c>
      <c r="U10" s="1555">
        <f t="shared" si="1"/>
        <v>0</v>
      </c>
      <c r="V10" s="1554" t="s">
        <v>8</v>
      </c>
      <c r="W10" s="1555">
        <f t="shared" si="2"/>
        <v>0</v>
      </c>
      <c r="X10" s="1556"/>
      <c r="Y10" s="3426" t="s">
        <v>530</v>
      </c>
      <c r="Z10" s="3427"/>
      <c r="AA10" s="1557" t="e">
        <f t="shared" ref="AA10:AA42" si="3">D10/F10</f>
        <v>#DIV/0!</v>
      </c>
      <c r="AB10" s="1557" t="e">
        <f t="shared" ref="AB10:AB42" si="4">D10/H10</f>
        <v>#DIV/0!</v>
      </c>
      <c r="AC10" s="1557" t="e">
        <f t="shared" ref="AC10:AC42" si="5">D10/J10</f>
        <v>#DIV/0!</v>
      </c>
    </row>
    <row r="11" spans="1:29" s="1215" customFormat="1" ht="15">
      <c r="A11" s="2869"/>
      <c r="B11" s="2876"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434" t="s">
        <v>532</v>
      </c>
      <c r="Q11" s="1146" t="str">
        <f t="shared" ref="Q11:Q17" si="6">B11</f>
        <v>用途</v>
      </c>
      <c r="R11" s="1554" t="s">
        <v>8</v>
      </c>
      <c r="S11" s="1555">
        <f t="shared" si="0"/>
        <v>100</v>
      </c>
      <c r="T11" s="1554" t="s">
        <v>8</v>
      </c>
      <c r="U11" s="1555">
        <f t="shared" si="1"/>
        <v>100</v>
      </c>
      <c r="V11" s="1554" t="s">
        <v>8</v>
      </c>
      <c r="W11" s="1555">
        <f t="shared" si="2"/>
        <v>100</v>
      </c>
      <c r="X11" s="1556"/>
      <c r="Y11" s="3391" t="s">
        <v>533</v>
      </c>
      <c r="Z11" s="1145" t="str">
        <f t="shared" ref="Z11:Z17" si="7">Q11</f>
        <v>用途</v>
      </c>
      <c r="AA11" s="1557">
        <f t="shared" si="3"/>
        <v>1</v>
      </c>
      <c r="AB11" s="1557">
        <f t="shared" si="4"/>
        <v>1</v>
      </c>
      <c r="AC11" s="1557">
        <f t="shared" si="5"/>
        <v>1</v>
      </c>
    </row>
    <row r="12" spans="1:29" s="1333" customFormat="1" ht="27">
      <c r="A12" s="2870"/>
      <c r="B12" s="2875" t="s">
        <v>2754</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434"/>
      <c r="Q12" s="1146" t="str">
        <f t="shared" si="6"/>
        <v>土地使用年限（年）</v>
      </c>
      <c r="R12" s="1554" t="s">
        <v>8</v>
      </c>
      <c r="S12" s="1555">
        <f t="shared" si="0"/>
        <v>100</v>
      </c>
      <c r="T12" s="1554" t="s">
        <v>8</v>
      </c>
      <c r="U12" s="1555">
        <f t="shared" si="1"/>
        <v>100</v>
      </c>
      <c r="V12" s="1554" t="s">
        <v>8</v>
      </c>
      <c r="W12" s="1555">
        <f t="shared" si="2"/>
        <v>100</v>
      </c>
      <c r="X12" s="1556"/>
      <c r="Y12" s="3391"/>
      <c r="Z12" s="1145" t="str">
        <f t="shared" si="7"/>
        <v>土地使用年限（年）</v>
      </c>
      <c r="AA12" s="1557">
        <f t="shared" si="3"/>
        <v>1</v>
      </c>
      <c r="AB12" s="1557">
        <f t="shared" si="4"/>
        <v>1</v>
      </c>
      <c r="AC12" s="1557">
        <f t="shared" si="5"/>
        <v>1</v>
      </c>
    </row>
    <row r="13" spans="1:29" ht="15">
      <c r="A13" s="2871"/>
      <c r="B13" s="2875"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434"/>
      <c r="Q13" s="1146" t="str">
        <f t="shared" si="6"/>
        <v>容积率</v>
      </c>
      <c r="R13" s="1554" t="s">
        <v>8</v>
      </c>
      <c r="S13" s="1555" t="e">
        <f t="shared" si="0"/>
        <v>#N/A</v>
      </c>
      <c r="T13" s="1554" t="s">
        <v>8</v>
      </c>
      <c r="U13" s="1555" t="e">
        <f t="shared" si="1"/>
        <v>#N/A</v>
      </c>
      <c r="V13" s="1554" t="s">
        <v>8</v>
      </c>
      <c r="W13" s="1555" t="e">
        <f t="shared" si="2"/>
        <v>#N/A</v>
      </c>
      <c r="X13" s="1556"/>
      <c r="Y13" s="3391"/>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434"/>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434"/>
      <c r="Q15" s="1146">
        <f t="shared" si="6"/>
        <v>111</v>
      </c>
      <c r="R15" s="1554" t="s">
        <v>8</v>
      </c>
      <c r="S15" s="1555">
        <f t="shared" si="0"/>
        <v>100</v>
      </c>
      <c r="T15" s="1554" t="s">
        <v>8</v>
      </c>
      <c r="U15" s="1555">
        <f t="shared" si="1"/>
        <v>100</v>
      </c>
      <c r="V15" s="1554" t="s">
        <v>8</v>
      </c>
      <c r="W15" s="1555">
        <f t="shared" si="2"/>
        <v>100</v>
      </c>
      <c r="X15" s="1556"/>
      <c r="Y15" s="3391"/>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434"/>
      <c r="Q16" s="1146">
        <f t="shared" si="6"/>
        <v>111</v>
      </c>
      <c r="R16" s="1554" t="s">
        <v>8</v>
      </c>
      <c r="S16" s="1555">
        <f t="shared" si="0"/>
        <v>100</v>
      </c>
      <c r="T16" s="1554" t="s">
        <v>8</v>
      </c>
      <c r="U16" s="1555">
        <f t="shared" si="1"/>
        <v>100</v>
      </c>
      <c r="V16" s="1554" t="s">
        <v>8</v>
      </c>
      <c r="W16" s="1555">
        <f t="shared" si="2"/>
        <v>100</v>
      </c>
      <c r="X16" s="1556"/>
      <c r="Y16" s="3391"/>
      <c r="Z16" s="1145">
        <f t="shared" si="7"/>
        <v>111</v>
      </c>
      <c r="AA16" s="1557">
        <f t="shared" si="3"/>
        <v>1</v>
      </c>
      <c r="AB16" s="1557">
        <f t="shared" si="4"/>
        <v>1</v>
      </c>
      <c r="AC16" s="1557">
        <f t="shared" si="5"/>
        <v>1</v>
      </c>
    </row>
    <row r="17" spans="1:29" ht="57">
      <c r="A17" s="2865" t="s">
        <v>2751</v>
      </c>
      <c r="B17" s="166" t="s">
        <v>595</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36" t="s">
        <v>537</v>
      </c>
      <c r="Q17" s="1558" t="str">
        <f t="shared" si="6"/>
        <v>产业集聚程度</v>
      </c>
      <c r="R17" s="1559" t="s">
        <v>8</v>
      </c>
      <c r="S17" s="1560">
        <f t="shared" si="0"/>
        <v>100</v>
      </c>
      <c r="T17" s="1559" t="s">
        <v>8</v>
      </c>
      <c r="U17" s="1560">
        <f t="shared" si="1"/>
        <v>100</v>
      </c>
      <c r="V17" s="1559" t="s">
        <v>8</v>
      </c>
      <c r="W17" s="1560">
        <f t="shared" si="2"/>
        <v>100</v>
      </c>
      <c r="X17" s="1553"/>
      <c r="Y17" s="3436" t="s">
        <v>537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37"/>
      <c r="Q18" s="1558"/>
      <c r="R18" s="1559"/>
      <c r="S18" s="1560"/>
      <c r="T18" s="1559"/>
      <c r="U18" s="1560"/>
      <c r="V18" s="1559"/>
      <c r="W18" s="1560"/>
      <c r="X18" s="1553"/>
      <c r="Y18" s="3437"/>
      <c r="Z18" s="1561"/>
      <c r="AA18" s="1562">
        <v>1</v>
      </c>
      <c r="AB18" s="1562">
        <v>1</v>
      </c>
      <c r="AC18" s="1562">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37"/>
      <c r="Q19" s="1558" t="str">
        <f>B19</f>
        <v>交通便捷度</v>
      </c>
      <c r="R19" s="1559" t="s">
        <v>8</v>
      </c>
      <c r="S19" s="1560">
        <f>F19</f>
        <v>100</v>
      </c>
      <c r="T19" s="1559" t="s">
        <v>8</v>
      </c>
      <c r="U19" s="1560">
        <f>H19</f>
        <v>100</v>
      </c>
      <c r="V19" s="1559" t="s">
        <v>8</v>
      </c>
      <c r="W19" s="1560">
        <f>J19</f>
        <v>100</v>
      </c>
      <c r="X19" s="1553"/>
      <c r="Y19" s="343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37"/>
      <c r="Q20" s="1558"/>
      <c r="R20" s="1559"/>
      <c r="S20" s="1560"/>
      <c r="T20" s="1559"/>
      <c r="U20" s="1560"/>
      <c r="V20" s="1559"/>
      <c r="W20" s="1560"/>
      <c r="X20" s="1553"/>
      <c r="Y20" s="3437"/>
      <c r="Z20" s="1561"/>
      <c r="AA20" s="1562">
        <v>1</v>
      </c>
      <c r="AB20" s="1562">
        <v>1</v>
      </c>
      <c r="AC20" s="1562">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37"/>
      <c r="Q21" s="1558" t="str">
        <f t="shared" ref="Q21:Q35" si="8">B21</f>
        <v>区域土地利用方向</v>
      </c>
      <c r="R21" s="1559" t="s">
        <v>8</v>
      </c>
      <c r="S21" s="1560">
        <f>F21</f>
        <v>100</v>
      </c>
      <c r="T21" s="1559" t="s">
        <v>8</v>
      </c>
      <c r="U21" s="1560">
        <f>H21</f>
        <v>100</v>
      </c>
      <c r="V21" s="1559" t="s">
        <v>8</v>
      </c>
      <c r="W21" s="1560">
        <f>J21</f>
        <v>100</v>
      </c>
      <c r="X21" s="1553"/>
      <c r="Y21" s="343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37"/>
      <c r="Q22" s="1558"/>
      <c r="R22" s="1559"/>
      <c r="S22" s="1560"/>
      <c r="T22" s="1559"/>
      <c r="U22" s="1560"/>
      <c r="V22" s="1559"/>
      <c r="W22" s="1560"/>
      <c r="X22" s="1553"/>
      <c r="Y22" s="3437"/>
      <c r="Z22" s="1561"/>
      <c r="AA22" s="1562"/>
      <c r="AB22" s="1562"/>
      <c r="AC22" s="1562"/>
    </row>
    <row r="23" spans="1:29" ht="71.25">
      <c r="A23" s="514"/>
      <c r="B23" s="921"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37"/>
      <c r="Q23" s="1558" t="str">
        <f t="shared" si="8"/>
        <v>环境状况</v>
      </c>
      <c r="R23" s="1559" t="s">
        <v>8</v>
      </c>
      <c r="S23" s="1560">
        <f>F23</f>
        <v>100</v>
      </c>
      <c r="T23" s="1559" t="s">
        <v>8</v>
      </c>
      <c r="U23" s="1560">
        <f>H23</f>
        <v>100</v>
      </c>
      <c r="V23" s="1559" t="s">
        <v>8</v>
      </c>
      <c r="W23" s="1560">
        <f>J23</f>
        <v>100</v>
      </c>
      <c r="X23" s="1553"/>
      <c r="Y23" s="343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37"/>
      <c r="Q24" s="1558"/>
      <c r="R24" s="1559"/>
      <c r="S24" s="1560"/>
      <c r="T24" s="1559"/>
      <c r="U24" s="1560"/>
      <c r="V24" s="1559"/>
      <c r="W24" s="1560"/>
      <c r="X24" s="1553"/>
      <c r="Y24" s="3437"/>
      <c r="Z24" s="1561"/>
      <c r="AA24" s="1562">
        <v>1</v>
      </c>
      <c r="AB24" s="1562">
        <v>1</v>
      </c>
      <c r="AC24" s="1562">
        <v>1</v>
      </c>
    </row>
    <row r="25" spans="1:29" s="1215" customFormat="1" ht="42.75">
      <c r="A25" s="576"/>
      <c r="B25" s="2557"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37"/>
      <c r="Q25" s="1146" t="str">
        <f t="shared" si="8"/>
        <v>公共配套设施</v>
      </c>
      <c r="R25" s="1554" t="s">
        <v>8</v>
      </c>
      <c r="S25" s="1555">
        <f>F25</f>
        <v>100</v>
      </c>
      <c r="T25" s="1554" t="s">
        <v>8</v>
      </c>
      <c r="U25" s="1555">
        <f>H25</f>
        <v>100</v>
      </c>
      <c r="V25" s="1554" t="s">
        <v>8</v>
      </c>
      <c r="W25" s="1555">
        <f>J25</f>
        <v>100</v>
      </c>
      <c r="X25" s="1556"/>
      <c r="Y25" s="3437"/>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37"/>
      <c r="Q26" s="1146"/>
      <c r="R26" s="1554"/>
      <c r="S26" s="1555"/>
      <c r="T26" s="1554"/>
      <c r="U26" s="1555"/>
      <c r="V26" s="1554"/>
      <c r="W26" s="1555"/>
      <c r="X26" s="1556"/>
      <c r="Y26" s="3437"/>
      <c r="Z26" s="1145"/>
      <c r="AA26" s="1557">
        <v>1</v>
      </c>
      <c r="AB26" s="1557">
        <v>1</v>
      </c>
      <c r="AC26" s="1557">
        <v>1</v>
      </c>
    </row>
    <row r="27" spans="1:29" s="1215" customFormat="1" ht="28.5">
      <c r="A27" s="576"/>
      <c r="B27" s="2557"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37"/>
      <c r="Q27" s="2542" t="str">
        <f t="shared" ref="Q27" si="9">B27</f>
        <v>基础设施水平</v>
      </c>
      <c r="R27" s="1554" t="s">
        <v>8</v>
      </c>
      <c r="S27" s="1555">
        <f>F27</f>
        <v>100</v>
      </c>
      <c r="T27" s="1554" t="s">
        <v>8</v>
      </c>
      <c r="U27" s="1555">
        <f>H27</f>
        <v>100</v>
      </c>
      <c r="V27" s="1554" t="s">
        <v>8</v>
      </c>
      <c r="W27" s="1555">
        <f>J27</f>
        <v>100</v>
      </c>
      <c r="X27" s="1556"/>
      <c r="Y27" s="3437"/>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37"/>
      <c r="Q28" s="2542"/>
      <c r="R28" s="1554"/>
      <c r="S28" s="1555"/>
      <c r="T28" s="1554"/>
      <c r="U28" s="1555"/>
      <c r="V28" s="1554"/>
      <c r="W28" s="1555"/>
      <c r="X28" s="1556"/>
      <c r="Y28" s="3437"/>
      <c r="Z28" s="2539"/>
      <c r="AA28" s="1557">
        <v>1</v>
      </c>
      <c r="AB28" s="1557">
        <v>1</v>
      </c>
      <c r="AC28" s="1557">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3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37"/>
      <c r="Z29" s="1561" t="str">
        <f t="shared" ref="Z29:Z42" si="13">Q29</f>
        <v>临街状况</v>
      </c>
      <c r="AA29" s="1562">
        <f t="shared" si="3"/>
        <v>1</v>
      </c>
      <c r="AB29" s="1562">
        <f t="shared" si="4"/>
        <v>1</v>
      </c>
      <c r="AC29" s="1562">
        <f t="shared" si="5"/>
        <v>1</v>
      </c>
    </row>
    <row r="30" spans="1:29" ht="27">
      <c r="A30" s="531"/>
      <c r="B30" s="921" t="s">
        <v>545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37"/>
      <c r="Q30" s="1558" t="str">
        <f t="shared" si="8"/>
        <v>毗邻道路的类型与等级</v>
      </c>
      <c r="R30" s="1559" t="s">
        <v>8</v>
      </c>
      <c r="S30" s="1560">
        <f t="shared" si="10"/>
        <v>100</v>
      </c>
      <c r="T30" s="1559" t="s">
        <v>8</v>
      </c>
      <c r="U30" s="1560">
        <f t="shared" si="11"/>
        <v>100</v>
      </c>
      <c r="V30" s="1559" t="s">
        <v>8</v>
      </c>
      <c r="W30" s="1560">
        <f t="shared" si="12"/>
        <v>100</v>
      </c>
      <c r="X30" s="1553"/>
      <c r="Y30" s="343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37"/>
      <c r="Q31" s="1558"/>
      <c r="R31" s="1559"/>
      <c r="S31" s="1560"/>
      <c r="T31" s="1559"/>
      <c r="U31" s="1560"/>
      <c r="V31" s="1559"/>
      <c r="W31" s="1560"/>
      <c r="X31" s="1553"/>
      <c r="Y31" s="3437"/>
      <c r="Z31" s="1561"/>
      <c r="AA31" s="1562">
        <v>1</v>
      </c>
      <c r="AB31" s="1562">
        <v>1</v>
      </c>
      <c r="AC31" s="1562">
        <v>1</v>
      </c>
    </row>
    <row r="32" spans="1:29" ht="15">
      <c r="A32" s="531"/>
      <c r="B32" s="526" t="s">
        <v>546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37"/>
      <c r="Q32" s="1558" t="str">
        <f t="shared" si="8"/>
        <v>土地级别</v>
      </c>
      <c r="R32" s="1559" t="s">
        <v>8</v>
      </c>
      <c r="S32" s="1560">
        <f t="shared" si="10"/>
        <v>100</v>
      </c>
      <c r="T32" s="1559" t="s">
        <v>8</v>
      </c>
      <c r="U32" s="1560">
        <f t="shared" si="11"/>
        <v>100</v>
      </c>
      <c r="V32" s="1559" t="s">
        <v>8</v>
      </c>
      <c r="W32" s="1560">
        <f t="shared" si="12"/>
        <v>100</v>
      </c>
      <c r="X32" s="1553"/>
      <c r="Y32" s="343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37"/>
      <c r="Q33" s="1558">
        <f t="shared" si="8"/>
        <v>111</v>
      </c>
      <c r="R33" s="1559" t="s">
        <v>8</v>
      </c>
      <c r="S33" s="1560">
        <f t="shared" si="10"/>
        <v>100</v>
      </c>
      <c r="T33" s="1559" t="s">
        <v>8</v>
      </c>
      <c r="U33" s="1560">
        <f t="shared" si="11"/>
        <v>100</v>
      </c>
      <c r="V33" s="1559" t="s">
        <v>8</v>
      </c>
      <c r="W33" s="1560">
        <f t="shared" si="12"/>
        <v>100</v>
      </c>
      <c r="X33" s="1553"/>
      <c r="Y33" s="343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38" t="s">
        <v>547</v>
      </c>
      <c r="Q34" s="1558">
        <f t="shared" si="8"/>
        <v>111</v>
      </c>
      <c r="R34" s="1559" t="s">
        <v>8</v>
      </c>
      <c r="S34" s="1560">
        <f t="shared" si="10"/>
        <v>100</v>
      </c>
      <c r="T34" s="1559" t="s">
        <v>8</v>
      </c>
      <c r="U34" s="1560">
        <f t="shared" si="11"/>
        <v>100</v>
      </c>
      <c r="V34" s="1559" t="s">
        <v>8</v>
      </c>
      <c r="W34" s="1560">
        <f t="shared" si="12"/>
        <v>100</v>
      </c>
      <c r="X34" s="1553"/>
      <c r="Y34" s="3439" t="s">
        <v>547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39"/>
      <c r="Q35" s="1558">
        <f t="shared" si="8"/>
        <v>111</v>
      </c>
      <c r="R35" s="1563" t="s">
        <v>8</v>
      </c>
      <c r="S35" s="1564">
        <f t="shared" si="10"/>
        <v>100</v>
      </c>
      <c r="T35" s="1563" t="s">
        <v>8</v>
      </c>
      <c r="U35" s="1564">
        <f t="shared" si="11"/>
        <v>100</v>
      </c>
      <c r="V35" s="1563" t="s">
        <v>8</v>
      </c>
      <c r="W35" s="1564">
        <f t="shared" si="12"/>
        <v>100</v>
      </c>
      <c r="X35" s="1565"/>
      <c r="Y35" s="3439"/>
      <c r="Z35" s="1566">
        <f t="shared" si="13"/>
        <v>111</v>
      </c>
      <c r="AA35" s="1562">
        <f t="shared" si="3"/>
        <v>1</v>
      </c>
      <c r="AB35" s="1562">
        <f t="shared" si="4"/>
        <v>1</v>
      </c>
      <c r="AC35" s="1562">
        <f t="shared" si="5"/>
        <v>1</v>
      </c>
    </row>
    <row r="36" spans="1:29" ht="15">
      <c r="A36" s="2862" t="s">
        <v>2752</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39"/>
      <c r="Q36" s="1558" t="str">
        <f>B36</f>
        <v>宗地面积</v>
      </c>
      <c r="R36" s="1559" t="s">
        <v>8</v>
      </c>
      <c r="S36" s="1560" t="e">
        <f t="shared" si="10"/>
        <v>#N/A</v>
      </c>
      <c r="T36" s="1559" t="s">
        <v>8</v>
      </c>
      <c r="U36" s="1560" t="e">
        <f t="shared" si="11"/>
        <v>#N/A</v>
      </c>
      <c r="V36" s="1559" t="s">
        <v>8</v>
      </c>
      <c r="W36" s="1560" t="e">
        <f t="shared" si="12"/>
        <v>#N/A</v>
      </c>
      <c r="X36" s="1553"/>
      <c r="Y36" s="3439"/>
      <c r="Z36" s="1561" t="str">
        <f t="shared" si="13"/>
        <v>宗地面积</v>
      </c>
      <c r="AA36" s="1562" t="e">
        <f t="shared" si="3"/>
        <v>#N/A</v>
      </c>
      <c r="AB36" s="1562" t="e">
        <f t="shared" si="4"/>
        <v>#N/A</v>
      </c>
      <c r="AC36" s="1562"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39"/>
      <c r="Q37" s="1558" t="str">
        <f t="shared" ref="Q37:Q42" si="14">B37</f>
        <v>宗地形状</v>
      </c>
      <c r="R37" s="1559" t="s">
        <v>8</v>
      </c>
      <c r="S37" s="1560">
        <f t="shared" si="10"/>
        <v>100</v>
      </c>
      <c r="T37" s="1559" t="s">
        <v>8</v>
      </c>
      <c r="U37" s="1560">
        <f t="shared" si="11"/>
        <v>100</v>
      </c>
      <c r="V37" s="1559" t="s">
        <v>8</v>
      </c>
      <c r="W37" s="1560">
        <f t="shared" si="12"/>
        <v>100</v>
      </c>
      <c r="X37" s="1553"/>
      <c r="Y37" s="3439"/>
      <c r="Z37" s="1561" t="str">
        <f t="shared" si="13"/>
        <v>宗地形状</v>
      </c>
      <c r="AA37" s="1562">
        <f t="shared" si="3"/>
        <v>1</v>
      </c>
      <c r="AB37" s="1562">
        <f t="shared" si="4"/>
        <v>1</v>
      </c>
      <c r="AC37" s="1562">
        <f t="shared" si="5"/>
        <v>1</v>
      </c>
    </row>
    <row r="38" spans="1:29" s="1215" customFormat="1" ht="15">
      <c r="A38" s="599"/>
      <c r="B38" s="1880"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39"/>
      <c r="Q38" s="1558" t="str">
        <f t="shared" si="14"/>
        <v>宗地开发程度</v>
      </c>
      <c r="R38" s="1554" t="s">
        <v>8</v>
      </c>
      <c r="S38" s="1555">
        <f t="shared" si="10"/>
        <v>100</v>
      </c>
      <c r="T38" s="1554" t="s">
        <v>8</v>
      </c>
      <c r="U38" s="1555">
        <f t="shared" si="11"/>
        <v>100</v>
      </c>
      <c r="V38" s="1554" t="s">
        <v>8</v>
      </c>
      <c r="W38" s="1555">
        <f t="shared" si="12"/>
        <v>100</v>
      </c>
      <c r="X38" s="1556"/>
      <c r="Y38" s="3439"/>
      <c r="Z38" s="1145" t="str">
        <f t="shared" si="13"/>
        <v>宗地开发程度</v>
      </c>
      <c r="AA38" s="1557">
        <f t="shared" si="3"/>
        <v>1</v>
      </c>
      <c r="AB38" s="1557">
        <f t="shared" si="4"/>
        <v>1</v>
      </c>
      <c r="AC38" s="1557">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39" t="s">
        <v>598</v>
      </c>
      <c r="Q39" s="1558" t="str">
        <f t="shared" si="14"/>
        <v>工程地质条件</v>
      </c>
      <c r="R39" s="1559" t="s">
        <v>8</v>
      </c>
      <c r="S39" s="1560">
        <f t="shared" si="10"/>
        <v>100</v>
      </c>
      <c r="T39" s="1559" t="s">
        <v>8</v>
      </c>
      <c r="U39" s="1560">
        <f t="shared" si="11"/>
        <v>100</v>
      </c>
      <c r="V39" s="1559" t="s">
        <v>8</v>
      </c>
      <c r="W39" s="1560">
        <f t="shared" si="12"/>
        <v>100</v>
      </c>
      <c r="X39" s="1553"/>
      <c r="Y39" s="3439" t="s">
        <v>598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39"/>
      <c r="Q40" s="1558">
        <f t="shared" si="14"/>
        <v>111</v>
      </c>
      <c r="R40" s="1559" t="s">
        <v>8</v>
      </c>
      <c r="S40" s="1560">
        <f t="shared" si="10"/>
        <v>100</v>
      </c>
      <c r="T40" s="1559" t="s">
        <v>8</v>
      </c>
      <c r="U40" s="1560">
        <f t="shared" si="11"/>
        <v>100</v>
      </c>
      <c r="V40" s="1559" t="s">
        <v>8</v>
      </c>
      <c r="W40" s="1560">
        <f t="shared" si="12"/>
        <v>100</v>
      </c>
      <c r="X40" s="1553"/>
      <c r="Y40" s="343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39"/>
      <c r="Q41" s="1558">
        <f t="shared" si="14"/>
        <v>111</v>
      </c>
      <c r="R41" s="1559" t="s">
        <v>8</v>
      </c>
      <c r="S41" s="1560">
        <f t="shared" si="10"/>
        <v>100</v>
      </c>
      <c r="T41" s="1559" t="s">
        <v>8</v>
      </c>
      <c r="U41" s="1560">
        <f t="shared" si="11"/>
        <v>100</v>
      </c>
      <c r="V41" s="1559" t="s">
        <v>8</v>
      </c>
      <c r="W41" s="1560">
        <f t="shared" si="12"/>
        <v>100</v>
      </c>
      <c r="X41" s="1553"/>
      <c r="Y41" s="3439"/>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39"/>
      <c r="Q42" s="1558">
        <f t="shared" si="14"/>
        <v>111</v>
      </c>
      <c r="R42" s="1563" t="s">
        <v>8</v>
      </c>
      <c r="S42" s="1564">
        <f t="shared" si="10"/>
        <v>100</v>
      </c>
      <c r="T42" s="1563" t="s">
        <v>8</v>
      </c>
      <c r="U42" s="1564">
        <f t="shared" si="11"/>
        <v>100</v>
      </c>
      <c r="V42" s="1563" t="s">
        <v>8</v>
      </c>
      <c r="W42" s="1564">
        <f t="shared" si="12"/>
        <v>100</v>
      </c>
      <c r="X42" s="1565"/>
      <c r="Y42" s="3439"/>
      <c r="Z42" s="1566">
        <f t="shared" si="13"/>
        <v>111</v>
      </c>
      <c r="AA42" s="1562">
        <f t="shared" si="3"/>
        <v>1</v>
      </c>
      <c r="AB42" s="1562">
        <f t="shared" si="4"/>
        <v>1</v>
      </c>
      <c r="AC42" s="1562">
        <f t="shared" si="5"/>
        <v>1</v>
      </c>
    </row>
    <row r="43" spans="1:29" ht="15">
      <c r="A43" s="606" t="s">
        <v>553</v>
      </c>
      <c r="B43" s="607" t="s">
        <v>2932</v>
      </c>
      <c r="C43" s="608" t="s">
        <v>1</v>
      </c>
      <c r="D43" s="609"/>
      <c r="E43" s="610"/>
      <c r="F43" s="611"/>
      <c r="G43" s="612"/>
      <c r="H43" s="613"/>
      <c r="I43" s="610"/>
      <c r="J43" s="613"/>
      <c r="K43" s="1335"/>
      <c r="L43" s="2129"/>
      <c r="M43" s="2119"/>
      <c r="N43" s="2119"/>
      <c r="O43" s="2130"/>
      <c r="P43" s="3434" t="str">
        <f>A43</f>
        <v>成交单价</v>
      </c>
      <c r="Q43" s="3434"/>
      <c r="R43" s="3448">
        <f>E43</f>
        <v>0</v>
      </c>
      <c r="S43" s="3448"/>
      <c r="T43" s="3448">
        <f>G43</f>
        <v>0</v>
      </c>
      <c r="U43" s="3448"/>
      <c r="V43" s="3448">
        <f>I43</f>
        <v>0</v>
      </c>
      <c r="W43" s="3448"/>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434" t="str">
        <f>A44</f>
        <v>比较价格（元/平方米）</v>
      </c>
      <c r="Q44" s="3434"/>
      <c r="R44" s="3458" t="e">
        <f>ROUND(PRODUCT(R43,AA9:AA42),0)</f>
        <v>#DIV/0!</v>
      </c>
      <c r="S44" s="3458"/>
      <c r="T44" s="3458" t="e">
        <f>ROUND(PRODUCT(T43,AB9:AB42),0)</f>
        <v>#DIV/0!</v>
      </c>
      <c r="U44" s="3458"/>
      <c r="V44" s="3458" t="e">
        <f>ROUND(PRODUCT(V43,AC9:AC42),0)</f>
        <v>#DIV/0!</v>
      </c>
      <c r="W44" s="3458"/>
      <c r="X44" s="1545"/>
      <c r="Y44" s="1545"/>
      <c r="Z44" s="1545"/>
      <c r="AA44" s="1545"/>
      <c r="AB44" s="1545"/>
      <c r="AC44" s="1545"/>
    </row>
    <row r="45" spans="1:29" ht="15.75" thickBot="1">
      <c r="A45" s="620" t="s">
        <v>2933</v>
      </c>
      <c r="B45" s="621"/>
      <c r="C45" s="622" t="e">
        <f>R45</f>
        <v>#DIV/0!</v>
      </c>
      <c r="D45" s="622"/>
      <c r="E45" s="622"/>
      <c r="F45" s="622"/>
      <c r="G45" s="622"/>
      <c r="H45" s="622"/>
      <c r="I45" s="622"/>
      <c r="J45" s="622"/>
      <c r="K45" s="1337"/>
      <c r="L45" s="2129"/>
      <c r="M45" s="2119"/>
      <c r="N45" s="2119"/>
      <c r="O45" s="2130"/>
      <c r="P45" s="3455" t="str">
        <f>A45</f>
        <v>估价对象XX用房的比较价格（楼面单价，元/平方米）</v>
      </c>
      <c r="Q45" s="3456"/>
      <c r="R45" s="3457" t="e">
        <f>ROUND(AVERAGE(R44:V44),0)</f>
        <v>#DIV/0!</v>
      </c>
      <c r="S45" s="3457"/>
      <c r="T45" s="3457"/>
      <c r="U45" s="3457"/>
      <c r="V45" s="3457"/>
      <c r="W45" s="3457"/>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557</v>
      </c>
      <c r="B52" s="629" t="s">
        <v>558</v>
      </c>
      <c r="C52" s="1546" t="s">
        <v>1721</v>
      </c>
      <c r="D52" s="2212" t="s">
        <v>2290</v>
      </c>
      <c r="E52" s="630" t="s">
        <v>559</v>
      </c>
      <c r="F52" s="1936" t="s">
        <v>560</v>
      </c>
      <c r="G52" s="3459" t="s">
        <v>2281</v>
      </c>
      <c r="H52" s="3460"/>
      <c r="I52" s="1937" t="s">
        <v>1942</v>
      </c>
      <c r="J52" s="1541">
        <f>项目基本情况!F41</f>
        <v>0</v>
      </c>
      <c r="K52" s="2139" t="s">
        <v>1720</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561</v>
      </c>
      <c r="B53" s="633" t="e">
        <f>C45</f>
        <v>#DIV/0!</v>
      </c>
      <c r="C53" s="634">
        <v>1</v>
      </c>
      <c r="D53" s="2213">
        <v>1</v>
      </c>
      <c r="E53" s="634">
        <f>'数据-汇总表'!E8+'数据-汇总表'!E9</f>
        <v>4100</v>
      </c>
      <c r="F53" s="1935" t="e">
        <f t="shared" ref="F53:F62" si="15">ROUND(B53*E53/10000,0)</f>
        <v>#DIV/0!</v>
      </c>
      <c r="G53" s="3461"/>
      <c r="H53" s="3462"/>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562</v>
      </c>
      <c r="B54" s="637" t="e">
        <f>ROUND($C$45*C54*D54,0)</f>
        <v>#DIV/0!</v>
      </c>
      <c r="C54" s="377">
        <f t="shared" ref="C54:C62" si="16">IF($C$52="北京市系数",I54,J54)</f>
        <v>0.6</v>
      </c>
      <c r="D54" s="2214">
        <v>0.25</v>
      </c>
      <c r="E54" s="638"/>
      <c r="F54" s="1935" t="e">
        <f t="shared" si="15"/>
        <v>#DIV/0!</v>
      </c>
      <c r="G54" s="3463" t="s">
        <v>2282</v>
      </c>
      <c r="H54" s="1939" t="str">
        <f>项目基本情况!B43</f>
        <v>十级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563</v>
      </c>
      <c r="B55" s="637" t="e">
        <f t="shared" ref="B55:B62" si="17">ROUND($C$45*C55*D55,0)</f>
        <v>#DIV/0!</v>
      </c>
      <c r="C55" s="377">
        <f t="shared" si="16"/>
        <v>0.3</v>
      </c>
      <c r="D55" s="2214">
        <v>0.25</v>
      </c>
      <c r="E55" s="638"/>
      <c r="F55" s="1935" t="e">
        <f t="shared" si="15"/>
        <v>#DIV/0!</v>
      </c>
      <c r="G55" s="3463"/>
      <c r="H55" s="1940" t="str">
        <f>项目基本情况!B43</f>
        <v>十级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564</v>
      </c>
      <c r="B56" s="637" t="e">
        <f t="shared" si="17"/>
        <v>#DIV/0!</v>
      </c>
      <c r="C56" s="377">
        <f t="shared" si="16"/>
        <v>0.2</v>
      </c>
      <c r="D56" s="2214">
        <v>0.25</v>
      </c>
      <c r="E56" s="638"/>
      <c r="F56" s="1935" t="e">
        <f t="shared" si="15"/>
        <v>#DIV/0!</v>
      </c>
      <c r="G56" s="3463"/>
      <c r="H56" s="1940" t="str">
        <f>项目基本情况!B43</f>
        <v>十级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565</v>
      </c>
      <c r="B57" s="637" t="e">
        <f t="shared" si="17"/>
        <v>#DIV/0!</v>
      </c>
      <c r="C57" s="377">
        <f t="shared" si="16"/>
        <v>0.2</v>
      </c>
      <c r="D57" s="2214">
        <v>0.25</v>
      </c>
      <c r="E57" s="638"/>
      <c r="F57" s="1935" t="e">
        <f t="shared" si="15"/>
        <v>#DIV/0!</v>
      </c>
      <c r="G57" s="3463"/>
      <c r="H57" s="1940" t="str">
        <f>项目基本情况!B43</f>
        <v>十级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7" t="e">
        <f t="shared" si="17"/>
        <v>#DIV/0!</v>
      </c>
      <c r="C58" s="377">
        <f t="shared" si="16"/>
        <v>0.2</v>
      </c>
      <c r="D58" s="2214">
        <v>0.25</v>
      </c>
      <c r="E58" s="640">
        <f>'数据-汇总表'!E11</f>
        <v>0</v>
      </c>
      <c r="F58" s="1935" t="e">
        <f t="shared" si="15"/>
        <v>#DIV/0!</v>
      </c>
      <c r="G58" s="1941" t="s">
        <v>2283</v>
      </c>
      <c r="H58" s="1940" t="str">
        <f>项目基本情况!C43</f>
        <v>十级</v>
      </c>
      <c r="I58" s="1938">
        <f>SUMIF(修正!$A$45:$A$56,H58,修正!F45:F56)</f>
        <v>0.2</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566</v>
      </c>
      <c r="B59" s="637" t="e">
        <f t="shared" si="17"/>
        <v>#DIV/0!</v>
      </c>
      <c r="C59" s="377">
        <f t="shared" si="16"/>
        <v>0.2</v>
      </c>
      <c r="D59" s="2214">
        <v>0.25</v>
      </c>
      <c r="E59" s="640">
        <f>'数据-汇总表'!E12</f>
        <v>0</v>
      </c>
      <c r="F59" s="1935" t="e">
        <f t="shared" si="15"/>
        <v>#DIV/0!</v>
      </c>
      <c r="G59" s="1931" t="s">
        <v>1674</v>
      </c>
      <c r="H59" s="1939" t="str">
        <f>IF(G59="商业",项目基本情况!B43,IF(G59="办公",项目基本情况!C43,IF(G59="住宅",项目基本情况!D43,项目基本情况!E43)))</f>
        <v>十级</v>
      </c>
      <c r="I59" s="1938">
        <f>SUMIF(修正!$A$45:$A$56,H59,修正!G45:G56)</f>
        <v>0.2</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567</v>
      </c>
      <c r="B60" s="637" t="e">
        <f t="shared" si="17"/>
        <v>#DIV/0!</v>
      </c>
      <c r="C60" s="377">
        <f t="shared" si="16"/>
        <v>0</v>
      </c>
      <c r="D60" s="2214">
        <v>0.25</v>
      </c>
      <c r="E60" s="640">
        <f>'数据-汇总表'!E13</f>
        <v>0</v>
      </c>
      <c r="F60" s="1935" t="e">
        <f t="shared" si="15"/>
        <v>#DIV/0!</v>
      </c>
      <c r="G60" s="1931" t="s">
        <v>920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568</v>
      </c>
      <c r="B61" s="637" t="e">
        <f t="shared" si="17"/>
        <v>#DIV/0!</v>
      </c>
      <c r="C61" s="377">
        <f t="shared" si="16"/>
        <v>0.15</v>
      </c>
      <c r="D61" s="2214">
        <v>0.25</v>
      </c>
      <c r="E61" s="640">
        <f>'数据-汇总表'!E14</f>
        <v>0</v>
      </c>
      <c r="F61" s="1935" t="e">
        <f t="shared" si="15"/>
        <v>#DIV/0!</v>
      </c>
      <c r="G61" s="1941" t="s">
        <v>2282</v>
      </c>
      <c r="H61" s="1940" t="str">
        <f>项目基本情况!B43</f>
        <v>十级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569</v>
      </c>
      <c r="B62" s="637" t="e">
        <f t="shared" si="17"/>
        <v>#DIV/0!</v>
      </c>
      <c r="C62" s="377">
        <f t="shared" si="16"/>
        <v>0.15</v>
      </c>
      <c r="D62" s="2214">
        <v>0.25</v>
      </c>
      <c r="E62" s="640">
        <f>'数据-汇总表'!E15</f>
        <v>0</v>
      </c>
      <c r="F62" s="1935" t="e">
        <f t="shared" si="15"/>
        <v>#DIV/0!</v>
      </c>
      <c r="G62" s="1942" t="s">
        <v>2283</v>
      </c>
      <c r="H62" s="1943" t="str">
        <f>项目基本情况!C43</f>
        <v>十级</v>
      </c>
      <c r="I62" s="1938">
        <f>SUMIF(修正!$A$45:$A$56,H62,修正!H45:H56)</f>
        <v>0.15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570</v>
      </c>
      <c r="B63" s="642" t="s">
        <v>17</v>
      </c>
      <c r="C63" s="642" t="s">
        <v>18</v>
      </c>
      <c r="D63" s="642" t="s">
        <v>2291</v>
      </c>
      <c r="E63" s="642">
        <f>IF(B43="楼面地价",SUM(E53:E62),'数据-汇总表'!D3)</f>
        <v>40700</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8" t="str">
        <f>"北京市平均增长率"&amp;TEXT('基准地价（娱乐）'!P24,"0.00%")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528</v>
      </c>
      <c r="B70" s="647"/>
      <c r="C70" s="659" t="s">
        <v>573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574</v>
      </c>
      <c r="B72" s="664" t="s">
        <v>531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536</v>
      </c>
      <c r="B85" s="664" t="s">
        <v>599</v>
      </c>
      <c r="C85" s="702" t="s">
        <v>576</v>
      </c>
      <c r="D85" s="702" t="s">
        <v>577</v>
      </c>
      <c r="E85" s="702" t="s">
        <v>578</v>
      </c>
      <c r="F85" s="702" t="s">
        <v>579</v>
      </c>
      <c r="G85" s="702" t="s">
        <v>580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583</v>
      </c>
      <c r="C87" s="707" t="s">
        <v>576</v>
      </c>
      <c r="D87" s="707" t="s">
        <v>577</v>
      </c>
      <c r="E87" s="707" t="s">
        <v>578</v>
      </c>
      <c r="F87" s="707" t="s">
        <v>579</v>
      </c>
      <c r="G87" s="707" t="s">
        <v>580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584</v>
      </c>
      <c r="C89" s="707" t="s">
        <v>576</v>
      </c>
      <c r="D89" s="707" t="s">
        <v>577</v>
      </c>
      <c r="E89" s="707" t="s">
        <v>578</v>
      </c>
      <c r="F89" s="707" t="s">
        <v>579</v>
      </c>
      <c r="G89" s="707" t="s">
        <v>580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585</v>
      </c>
      <c r="C91" s="702" t="s">
        <v>576</v>
      </c>
      <c r="D91" s="702" t="s">
        <v>577</v>
      </c>
      <c r="E91" s="702" t="s">
        <v>578</v>
      </c>
      <c r="F91" s="702" t="s">
        <v>579</v>
      </c>
      <c r="G91" s="702" t="s">
        <v>580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2545</v>
      </c>
      <c r="C93" s="702" t="s">
        <v>576</v>
      </c>
      <c r="D93" s="702" t="s">
        <v>577</v>
      </c>
      <c r="E93" s="702" t="s">
        <v>578</v>
      </c>
      <c r="F93" s="702" t="s">
        <v>579</v>
      </c>
      <c r="G93" s="702" t="s">
        <v>580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2547</v>
      </c>
      <c r="C95" s="2562" t="s">
        <v>2548</v>
      </c>
      <c r="D95" s="2562" t="s">
        <v>2549</v>
      </c>
      <c r="E95" s="2562" t="s">
        <v>2550</v>
      </c>
      <c r="F95" s="2562" t="s">
        <v>2551</v>
      </c>
      <c r="G95" s="2562" t="s">
        <v>2552</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586</v>
      </c>
      <c r="D97" s="673" t="s">
        <v>587</v>
      </c>
      <c r="E97" s="673" t="s">
        <v>588</v>
      </c>
      <c r="F97" s="673" t="s">
        <v>589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2422</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29" sqref="D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51041</v>
      </c>
      <c r="U2" s="2881"/>
      <c r="V2" s="2892">
        <f ca="1">ROUND(T2*U2/10000,0)</f>
        <v>0</v>
      </c>
      <c r="W2" s="2174"/>
      <c r="X2" s="2174"/>
      <c r="Y2" s="2174"/>
      <c r="Z2" s="2174"/>
      <c r="AA2" s="2174"/>
      <c r="AB2" s="2174"/>
      <c r="AC2" s="2175"/>
    </row>
    <row r="3" spans="1:39" ht="15.75">
      <c r="A3" s="1407" t="s">
        <v>1684</v>
      </c>
      <c r="B3" s="1037" t="e">
        <f ca="1">ROUND(B2*10000/D1,0)</f>
        <v>#DIV/0!</v>
      </c>
      <c r="C3" s="1403" t="s">
        <v>924</v>
      </c>
      <c r="D3" s="1404" t="s">
        <v>925</v>
      </c>
      <c r="E3" s="1408" t="s">
        <v>3015</v>
      </c>
      <c r="F3" s="1409" t="s">
        <v>3016</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33639</v>
      </c>
      <c r="U3" s="2881"/>
      <c r="V3" s="2892">
        <f t="shared" ref="V3:V16" ca="1" si="1">ROUND(T3*U3/10000,0)</f>
        <v>0</v>
      </c>
      <c r="W3" s="2174"/>
      <c r="X3" s="2174"/>
      <c r="Y3" s="2174"/>
      <c r="Z3" s="2174"/>
      <c r="AA3" s="2174"/>
      <c r="AB3" s="2174"/>
      <c r="AC3" s="2175"/>
    </row>
    <row r="4" spans="1:39" ht="28.5">
      <c r="A4" s="1876" t="s">
        <v>2277</v>
      </c>
      <c r="B4" s="2417">
        <f ca="1">ROUND(B2*10000/F1,0)</f>
        <v>0</v>
      </c>
      <c r="C4" s="1879" t="s">
        <v>2251</v>
      </c>
      <c r="D4" s="1879">
        <f ca="1">ROUND(B2/(F1/666.67),0)</f>
        <v>0</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26472</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19778</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SUMIF(L1:L12,'基准地价（娱乐）'!G2,M1:M12)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14873</v>
      </c>
      <c r="U6" s="2881"/>
      <c r="V6" s="2892">
        <f t="shared" ca="1" si="1"/>
        <v>0</v>
      </c>
      <c r="W6" s="2174"/>
      <c r="X6" s="2174"/>
      <c r="Y6" s="2174"/>
      <c r="Z6" s="2174"/>
      <c r="AA6" s="2174"/>
      <c r="AB6" s="2174"/>
      <c r="AC6" s="2176"/>
      <c r="AD6" s="1415"/>
      <c r="AE6" s="1415"/>
      <c r="AF6" s="1415"/>
      <c r="AG6" s="1415"/>
      <c r="AH6" s="1415"/>
      <c r="AI6" s="1415"/>
      <c r="AJ6" s="1416"/>
    </row>
    <row r="7" spans="1:39" ht="24">
      <c r="A7" s="3471" t="str">
        <f>IF(E2="商业",IF(C8="不临58条商业街","",2),"")</f>
        <v/>
      </c>
      <c r="B7" s="1423" t="s">
        <v>929</v>
      </c>
      <c r="C7" s="1042" t="e">
        <f>IF(C8="不临58条商业街",1,ROUND(1+(1.6*E8+1.2*E9+0.8*E10+0.4*E11)*C9,4))</f>
        <v>#DIV/0!</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11893</v>
      </c>
      <c r="U7" s="2881"/>
      <c r="V7" s="2892">
        <f t="shared" ca="1" si="1"/>
        <v>0</v>
      </c>
      <c r="W7" s="2890" t="s">
        <v>2761</v>
      </c>
      <c r="X7" s="2882" t="str">
        <f>G2</f>
        <v>十级</v>
      </c>
      <c r="Y7" s="2882" t="s">
        <v>2762</v>
      </c>
      <c r="Z7" s="2883">
        <f>G3</f>
        <v>0.1</v>
      </c>
      <c r="AA7" s="2177"/>
      <c r="AB7" s="2177"/>
      <c r="AC7" s="2178"/>
      <c r="AD7" s="2884"/>
      <c r="AE7" s="2884"/>
      <c r="AF7" s="2884"/>
      <c r="AG7" s="2884"/>
      <c r="AH7" s="2884"/>
      <c r="AI7" s="2884"/>
      <c r="AJ7" s="2885"/>
    </row>
    <row r="8" spans="1:39" ht="15">
      <c r="A8" s="3472"/>
      <c r="B8" s="1410" t="s">
        <v>931</v>
      </c>
      <c r="C8" s="1516"/>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82" t="s">
        <v>2779</v>
      </c>
      <c r="X8" s="3483"/>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7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81"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7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8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7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81"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7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81"/>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7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81"/>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7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7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71" t="s">
        <v>1835</v>
      </c>
      <c r="B16" s="1423" t="s">
        <v>947</v>
      </c>
      <c r="C16" s="1051">
        <f>ROUND(IF(F17="与级别开发程度一致",0,(G17-E17)/C17),0)</f>
        <v>0</v>
      </c>
      <c r="D16" s="3489" t="s">
        <v>951</v>
      </c>
      <c r="E16" s="3490"/>
      <c r="F16" s="3489" t="s">
        <v>948</v>
      </c>
      <c r="G16" s="3490"/>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7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0.8</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12.384</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12.384</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12.384</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32548</v>
      </c>
      <c r="D29" s="1491">
        <f>'数据-基础表'!I13</f>
        <v>0</v>
      </c>
      <c r="E29" s="1834">
        <f ca="1">ROUND(C29*D29/10000,0)</f>
        <v>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8137</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7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7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7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8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2936</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76" t="s">
        <v>1630</v>
      </c>
      <c r="B90" s="3476"/>
      <c r="C90" s="3476"/>
      <c r="D90" s="3476"/>
      <c r="E90" s="3476"/>
      <c r="F90" s="3476"/>
      <c r="G90" s="3476"/>
      <c r="H90" s="3476"/>
      <c r="I90" s="3476"/>
      <c r="J90" s="3476"/>
      <c r="K90" s="2414"/>
      <c r="L90" s="2414"/>
      <c r="M90" s="2414"/>
      <c r="N90" s="2414"/>
    </row>
    <row r="91" spans="1:40">
      <c r="A91" s="3477" t="s">
        <v>1440</v>
      </c>
      <c r="B91" s="3477" t="s">
        <v>1631</v>
      </c>
      <c r="C91" s="1135" t="s">
        <v>1632</v>
      </c>
      <c r="D91" s="1136"/>
      <c r="E91" s="1136"/>
      <c r="F91" s="1136"/>
      <c r="G91" s="1136"/>
      <c r="H91" s="1136"/>
      <c r="I91" s="1136"/>
      <c r="J91" s="1137"/>
      <c r="K91" s="1129"/>
      <c r="L91" s="1129"/>
      <c r="M91" s="1129"/>
      <c r="N91" s="1129"/>
    </row>
    <row r="92" spans="1:40">
      <c r="A92" s="3477"/>
      <c r="B92" s="3477"/>
      <c r="C92" s="2413" t="s">
        <v>904</v>
      </c>
      <c r="D92" s="2413" t="s">
        <v>882</v>
      </c>
      <c r="E92" s="2413" t="s">
        <v>883</v>
      </c>
      <c r="F92" s="2413" t="s">
        <v>907</v>
      </c>
      <c r="G92" s="2413" t="s">
        <v>885</v>
      </c>
      <c r="H92" s="2413" t="s">
        <v>886</v>
      </c>
      <c r="I92" s="2413" t="s">
        <v>887</v>
      </c>
      <c r="J92" s="2413" t="s">
        <v>888</v>
      </c>
      <c r="K92" s="2413" t="s">
        <v>912</v>
      </c>
      <c r="L92" s="2413" t="s">
        <v>890</v>
      </c>
      <c r="M92" s="2413" t="s">
        <v>891</v>
      </c>
      <c r="N92" s="2413" t="s">
        <v>915</v>
      </c>
    </row>
    <row r="93" spans="1:40">
      <c r="A93" s="3484"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8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8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8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8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8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85"/>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84"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85"/>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85"/>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85"/>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85"/>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85"/>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85"/>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85"/>
      <c r="B108" s="3487"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6"/>
      <c r="B109" s="3488"/>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70" t="s">
        <v>1636</v>
      </c>
      <c r="B110" s="3470"/>
      <c r="C110" s="3470"/>
      <c r="D110" s="3470"/>
      <c r="E110" s="3470"/>
      <c r="F110" s="3470"/>
      <c r="G110" s="3470"/>
      <c r="H110" s="3470"/>
      <c r="I110" s="3470"/>
      <c r="J110" s="3470"/>
      <c r="K110" s="2412"/>
      <c r="L110" s="2412"/>
      <c r="M110" s="2412"/>
      <c r="N110" s="2412"/>
    </row>
    <row r="112" spans="1:14" ht="12.75" thickBot="1"/>
    <row r="113" spans="1:13" ht="25.5" thickBot="1">
      <c r="A113" s="1015" t="s">
        <v>893</v>
      </c>
      <c r="B113" s="2415">
        <f>G3</f>
        <v>0.1</v>
      </c>
      <c r="C113" s="1016" t="s">
        <v>894</v>
      </c>
      <c r="D113" s="1017">
        <f>SUMPRODUCT((A115:A118=F113)*(B114:M114=H113)*B115:M118)</f>
        <v>0.76800000000000002</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904</v>
      </c>
      <c r="C1" s="1067" t="s">
        <v>905</v>
      </c>
      <c r="D1" s="1067" t="s">
        <v>906</v>
      </c>
      <c r="E1" s="1067" t="s">
        <v>907</v>
      </c>
      <c r="F1" s="1067" t="s">
        <v>908</v>
      </c>
      <c r="G1" s="1067" t="s">
        <v>909</v>
      </c>
      <c r="H1" s="1067" t="s">
        <v>910</v>
      </c>
      <c r="I1" s="1067" t="s">
        <v>911</v>
      </c>
      <c r="J1" s="1067" t="s">
        <v>912</v>
      </c>
      <c r="K1" s="1067" t="s">
        <v>913</v>
      </c>
      <c r="L1" s="1067" t="s">
        <v>914</v>
      </c>
      <c r="M1" s="1068" t="s">
        <v>915</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2987</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84" customFormat="1" ht="19.5" customHeight="1">
      <c r="A18" s="3477" t="s">
        <v>1004</v>
      </c>
      <c r="B18" s="1149" t="s">
        <v>1443</v>
      </c>
      <c r="C18" s="1126" t="s">
        <v>1444</v>
      </c>
      <c r="D18" s="1127"/>
      <c r="E18" s="1149">
        <v>1</v>
      </c>
      <c r="F18" s="1128" t="s">
        <v>1445</v>
      </c>
      <c r="G18" s="1129"/>
      <c r="H18" s="1100"/>
      <c r="I18" s="1100"/>
    </row>
    <row r="19" spans="1:9" s="1584" customFormat="1" ht="19.5" customHeight="1">
      <c r="A19" s="3477"/>
      <c r="B19" s="3477" t="s">
        <v>1446</v>
      </c>
      <c r="C19" s="1126" t="s">
        <v>1447</v>
      </c>
      <c r="D19" s="1127"/>
      <c r="E19" s="1149">
        <v>0.9</v>
      </c>
      <c r="F19" s="1128" t="s">
        <v>1448</v>
      </c>
      <c r="G19" s="1129"/>
      <c r="H19" s="1100"/>
      <c r="I19" s="1100"/>
    </row>
    <row r="20" spans="1:9" s="1584" customFormat="1" ht="19.5" customHeight="1">
      <c r="A20" s="3477"/>
      <c r="B20" s="3477"/>
      <c r="C20" s="1126" t="s">
        <v>1449</v>
      </c>
      <c r="D20" s="1127"/>
      <c r="E20" s="1149">
        <v>1.1000000000000001</v>
      </c>
      <c r="F20" s="1128" t="s">
        <v>1450</v>
      </c>
      <c r="G20" s="1129"/>
      <c r="H20" s="1100"/>
      <c r="I20" s="1100"/>
    </row>
    <row r="21" spans="1:9" s="1584" customFormat="1" ht="19.5" customHeight="1">
      <c r="A21" s="3477"/>
      <c r="B21" s="3477"/>
      <c r="C21" s="1126" t="s">
        <v>1451</v>
      </c>
      <c r="D21" s="1127"/>
      <c r="E21" s="1149">
        <v>0.8</v>
      </c>
      <c r="F21" s="1128" t="s">
        <v>1452</v>
      </c>
      <c r="G21" s="1129"/>
      <c r="H21" s="1100"/>
      <c r="I21" s="1100"/>
    </row>
    <row r="22" spans="1:9" s="1584" customFormat="1" ht="19.5" customHeight="1">
      <c r="A22" s="3477"/>
      <c r="B22" s="3477"/>
      <c r="C22" s="1126" t="s">
        <v>1453</v>
      </c>
      <c r="D22" s="1127"/>
      <c r="E22" s="1149">
        <v>0.5</v>
      </c>
      <c r="F22" s="1128"/>
      <c r="G22" s="1129"/>
      <c r="H22" s="1100"/>
      <c r="I22" s="1100"/>
    </row>
    <row r="23" spans="1:9" s="1584" customFormat="1" ht="19.5" customHeight="1">
      <c r="A23" s="3477" t="s">
        <v>1026</v>
      </c>
      <c r="B23" s="1149" t="s">
        <v>1443</v>
      </c>
      <c r="C23" s="1126" t="s">
        <v>1454</v>
      </c>
      <c r="D23" s="1127"/>
      <c r="E23" s="1149">
        <v>1</v>
      </c>
      <c r="F23" s="1128" t="s">
        <v>1455</v>
      </c>
      <c r="G23" s="1129"/>
      <c r="H23" s="1100"/>
      <c r="I23" s="1100"/>
    </row>
    <row r="24" spans="1:9" s="1584" customFormat="1" ht="19.5" customHeight="1">
      <c r="A24" s="3477"/>
      <c r="B24" s="3477" t="s">
        <v>1446</v>
      </c>
      <c r="C24" s="1126" t="s">
        <v>1456</v>
      </c>
      <c r="D24" s="1127"/>
      <c r="E24" s="1149">
        <v>0.5</v>
      </c>
      <c r="F24" s="1128"/>
      <c r="G24" s="1129"/>
      <c r="H24" s="1100"/>
      <c r="I24" s="1100"/>
    </row>
    <row r="25" spans="1:9" s="1584" customFormat="1" ht="19.5" customHeight="1">
      <c r="A25" s="3477"/>
      <c r="B25" s="3477"/>
      <c r="C25" s="1126" t="s">
        <v>1457</v>
      </c>
      <c r="D25" s="1127"/>
      <c r="E25" s="1149">
        <v>1.1000000000000001</v>
      </c>
      <c r="F25" s="1128"/>
      <c r="G25" s="1129"/>
      <c r="H25" s="1100"/>
      <c r="I25" s="1100"/>
    </row>
    <row r="26" spans="1:9" s="1584" customFormat="1" ht="19.5" customHeight="1">
      <c r="A26" s="3477"/>
      <c r="B26" s="3477"/>
      <c r="C26" s="1126" t="s">
        <v>1458</v>
      </c>
      <c r="D26" s="1127"/>
      <c r="E26" s="1149">
        <v>1.1000000000000001</v>
      </c>
      <c r="F26" s="1128"/>
      <c r="G26" s="1129"/>
      <c r="H26" s="1100"/>
      <c r="I26" s="1100"/>
    </row>
    <row r="27" spans="1:9" s="1584" customFormat="1" ht="19.5" customHeight="1">
      <c r="A27" s="3477"/>
      <c r="B27" s="3477"/>
      <c r="C27" s="1126" t="s">
        <v>1459</v>
      </c>
      <c r="D27" s="1127"/>
      <c r="E27" s="1149">
        <v>0.9</v>
      </c>
      <c r="F27" s="1128" t="s">
        <v>1460</v>
      </c>
      <c r="G27" s="1129"/>
      <c r="H27" s="1100"/>
      <c r="I27" s="1100"/>
    </row>
    <row r="28" spans="1:9" s="1584" customFormat="1" ht="19.5" customHeight="1">
      <c r="A28" s="3477"/>
      <c r="B28" s="3477"/>
      <c r="C28" s="1126" t="s">
        <v>1461</v>
      </c>
      <c r="D28" s="1127"/>
      <c r="E28" s="1149">
        <v>0.9</v>
      </c>
      <c r="F28" s="1128" t="s">
        <v>1462</v>
      </c>
      <c r="G28" s="1129"/>
      <c r="H28" s="1100"/>
      <c r="I28" s="1100"/>
    </row>
    <row r="29" spans="1:9" s="1584" customFormat="1" ht="19.5" customHeight="1">
      <c r="A29" s="3477"/>
      <c r="B29" s="3477"/>
      <c r="C29" s="1126" t="s">
        <v>1463</v>
      </c>
      <c r="D29" s="1127"/>
      <c r="E29" s="1149">
        <v>0.9</v>
      </c>
      <c r="F29" s="1128" t="s">
        <v>1464</v>
      </c>
      <c r="G29" s="1129"/>
      <c r="H29" s="1100"/>
      <c r="I29" s="1100"/>
    </row>
    <row r="30" spans="1:9" s="1584" customFormat="1" ht="19.5" customHeight="1">
      <c r="A30" s="3477"/>
      <c r="B30" s="3477"/>
      <c r="C30" s="1126" t="s">
        <v>1465</v>
      </c>
      <c r="D30" s="1127"/>
      <c r="E30" s="1149">
        <v>0.9</v>
      </c>
      <c r="F30" s="1128" t="s">
        <v>1466</v>
      </c>
      <c r="G30" s="1129"/>
      <c r="H30" s="1100"/>
      <c r="I30" s="1100"/>
    </row>
    <row r="31" spans="1:9" s="1584" customFormat="1" ht="19.5" customHeight="1">
      <c r="A31" s="3477"/>
      <c r="B31" s="3477"/>
      <c r="C31" s="1126" t="s">
        <v>1467</v>
      </c>
      <c r="D31" s="1127"/>
      <c r="E31" s="1149">
        <v>0.8</v>
      </c>
      <c r="F31" s="1128" t="s">
        <v>1468</v>
      </c>
      <c r="G31" s="1129"/>
      <c r="H31" s="1100"/>
      <c r="I31" s="1100"/>
    </row>
    <row r="32" spans="1:9" s="1584" customFormat="1" ht="19.5" customHeight="1">
      <c r="A32" s="3477"/>
      <c r="B32" s="3477"/>
      <c r="C32" s="1126" t="s">
        <v>1469</v>
      </c>
      <c r="D32" s="1127"/>
      <c r="E32" s="1149">
        <v>0.8</v>
      </c>
      <c r="F32" s="1128" t="s">
        <v>1470</v>
      </c>
      <c r="G32" s="1129"/>
      <c r="H32" s="1100"/>
      <c r="I32" s="1100"/>
    </row>
    <row r="33" spans="1:9" s="1584" customFormat="1" ht="19.5" customHeight="1">
      <c r="A33" s="3477" t="s">
        <v>1471</v>
      </c>
      <c r="B33" s="1149" t="s">
        <v>1443</v>
      </c>
      <c r="C33" s="1126" t="s">
        <v>1472</v>
      </c>
      <c r="D33" s="1127"/>
      <c r="E33" s="1149">
        <v>1</v>
      </c>
      <c r="F33" s="1128" t="s">
        <v>1473</v>
      </c>
      <c r="G33" s="1129"/>
      <c r="H33" s="1100"/>
      <c r="I33" s="1100"/>
    </row>
    <row r="34" spans="1:9" s="1584" customFormat="1" ht="19.5" customHeight="1">
      <c r="A34" s="3477"/>
      <c r="B34" s="1149" t="s">
        <v>1446</v>
      </c>
      <c r="C34" s="1126" t="s">
        <v>1474</v>
      </c>
      <c r="D34" s="1127"/>
      <c r="E34" s="1149">
        <v>1.5</v>
      </c>
      <c r="F34" s="1128" t="s">
        <v>1475</v>
      </c>
      <c r="G34" s="1129"/>
      <c r="H34" s="1100"/>
      <c r="I34" s="1100"/>
    </row>
    <row r="35" spans="1:9" s="1584" customFormat="1" ht="19.5" customHeight="1">
      <c r="A35" s="3477" t="s">
        <v>1429</v>
      </c>
      <c r="B35" s="1149" t="s">
        <v>1443</v>
      </c>
      <c r="C35" s="1126" t="s">
        <v>1476</v>
      </c>
      <c r="D35" s="1127"/>
      <c r="E35" s="1149">
        <v>1</v>
      </c>
      <c r="F35" s="1128" t="s">
        <v>1477</v>
      </c>
      <c r="G35" s="1129"/>
      <c r="H35" s="1100"/>
      <c r="I35" s="1100"/>
    </row>
    <row r="36" spans="1:9" s="1584" customFormat="1" ht="19.5" customHeight="1">
      <c r="A36" s="3477"/>
      <c r="B36" s="3477" t="s">
        <v>1446</v>
      </c>
      <c r="C36" s="1126" t="s">
        <v>1478</v>
      </c>
      <c r="D36" s="1127"/>
      <c r="E36" s="1149">
        <v>1</v>
      </c>
      <c r="F36" s="1128" t="s">
        <v>1479</v>
      </c>
      <c r="G36" s="1129"/>
      <c r="H36" s="1100"/>
      <c r="I36" s="1100"/>
    </row>
    <row r="37" spans="1:9" s="1584" customFormat="1" ht="19.5" customHeight="1">
      <c r="A37" s="3477"/>
      <c r="B37" s="3477"/>
      <c r="C37" s="1126" t="s">
        <v>1480</v>
      </c>
      <c r="D37" s="1127"/>
      <c r="E37" s="1149">
        <v>1.5</v>
      </c>
      <c r="F37" s="1128" t="s">
        <v>1481</v>
      </c>
      <c r="G37" s="1129"/>
      <c r="H37" s="1100"/>
      <c r="I37" s="1100"/>
    </row>
    <row r="38" spans="1:9" s="1584" customFormat="1" ht="19.5" customHeight="1">
      <c r="A38" s="3477"/>
      <c r="B38" s="3477"/>
      <c r="C38" s="1126" t="s">
        <v>1482</v>
      </c>
      <c r="D38" s="1127"/>
      <c r="E38" s="1149">
        <v>1</v>
      </c>
      <c r="F38" s="1128" t="s">
        <v>1483</v>
      </c>
      <c r="G38" s="1129"/>
      <c r="H38" s="1100"/>
      <c r="I38" s="1100"/>
    </row>
    <row r="39" spans="1:9" s="1584" customFormat="1" ht="19.5" customHeight="1">
      <c r="A39" s="3477"/>
      <c r="B39" s="3477"/>
      <c r="C39" s="1126" t="s">
        <v>1484</v>
      </c>
      <c r="D39" s="1127"/>
      <c r="E39" s="1149">
        <v>1</v>
      </c>
      <c r="F39" s="1128" t="s">
        <v>1485</v>
      </c>
      <c r="G39" s="1129"/>
      <c r="H39" s="1100"/>
      <c r="I39" s="1100"/>
    </row>
    <row r="40" spans="1:9" s="1584" customFormat="1" ht="19.5" customHeight="1">
      <c r="A40" s="1585" t="s">
        <v>1486</v>
      </c>
      <c r="B40" s="1585"/>
      <c r="C40" s="1585"/>
      <c r="D40" s="1585"/>
      <c r="E40" s="1585"/>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904</v>
      </c>
      <c r="B45" s="1063">
        <v>0.8</v>
      </c>
      <c r="C45" s="1063">
        <v>0.5</v>
      </c>
      <c r="D45" s="1063">
        <v>0.36</v>
      </c>
      <c r="E45" s="1063">
        <v>0.3</v>
      </c>
      <c r="F45" s="1124">
        <v>0.3</v>
      </c>
      <c r="G45" s="1063">
        <v>0.3</v>
      </c>
      <c r="H45" s="1063">
        <v>0.25</v>
      </c>
    </row>
    <row r="46" spans="1:9" ht="19.5" customHeight="1">
      <c r="A46" s="1147" t="s">
        <v>905</v>
      </c>
      <c r="B46" s="1063">
        <v>0.8</v>
      </c>
      <c r="C46" s="1063">
        <v>0.5</v>
      </c>
      <c r="D46" s="1063">
        <v>0.36</v>
      </c>
      <c r="E46" s="1063">
        <v>0.3</v>
      </c>
      <c r="F46" s="1063">
        <v>0.3</v>
      </c>
      <c r="G46" s="1063">
        <v>0.3</v>
      </c>
      <c r="H46" s="1063">
        <v>0.25</v>
      </c>
    </row>
    <row r="47" spans="1:9" ht="19.5" customHeight="1">
      <c r="A47" s="1147" t="s">
        <v>906</v>
      </c>
      <c r="B47" s="1063">
        <v>0.7</v>
      </c>
      <c r="C47" s="1063">
        <v>0.4</v>
      </c>
      <c r="D47" s="1063">
        <v>0.28000000000000003</v>
      </c>
      <c r="E47" s="1063">
        <v>0.25</v>
      </c>
      <c r="F47" s="1063">
        <v>0.25</v>
      </c>
      <c r="G47" s="1063">
        <v>0.25</v>
      </c>
      <c r="H47" s="1063">
        <v>0.2</v>
      </c>
    </row>
    <row r="48" spans="1:9" ht="19.5" customHeight="1">
      <c r="A48" s="1147" t="s">
        <v>907</v>
      </c>
      <c r="B48" s="1063">
        <v>0.7</v>
      </c>
      <c r="C48" s="1063">
        <v>0.4</v>
      </c>
      <c r="D48" s="1063">
        <v>0.28000000000000003</v>
      </c>
      <c r="E48" s="1063">
        <v>0.25</v>
      </c>
      <c r="F48" s="1063">
        <v>0.25</v>
      </c>
      <c r="G48" s="1063">
        <v>0.25</v>
      </c>
      <c r="H48" s="1063">
        <v>0.2</v>
      </c>
    </row>
    <row r="49" spans="1:8" s="1100" customFormat="1" ht="19.5" customHeight="1">
      <c r="A49" s="1147" t="s">
        <v>908</v>
      </c>
      <c r="B49" s="1063">
        <v>0.7</v>
      </c>
      <c r="C49" s="1063">
        <v>0.4</v>
      </c>
      <c r="D49" s="1063">
        <v>0.28000000000000003</v>
      </c>
      <c r="E49" s="1063">
        <v>0.25</v>
      </c>
      <c r="F49" s="1063">
        <v>0.25</v>
      </c>
      <c r="G49" s="1063">
        <v>0.25</v>
      </c>
      <c r="H49" s="1063">
        <v>0.2</v>
      </c>
    </row>
    <row r="50" spans="1:8" s="1100" customFormat="1" ht="19.5" customHeight="1">
      <c r="A50" s="1147" t="s">
        <v>909</v>
      </c>
      <c r="B50" s="1063">
        <v>0.7</v>
      </c>
      <c r="C50" s="1063">
        <v>0.4</v>
      </c>
      <c r="D50" s="1063">
        <v>0.28000000000000003</v>
      </c>
      <c r="E50" s="1063">
        <v>0.25</v>
      </c>
      <c r="F50" s="1063">
        <v>0.25</v>
      </c>
      <c r="G50" s="1063">
        <v>0.25</v>
      </c>
      <c r="H50" s="1063">
        <v>0.2</v>
      </c>
    </row>
    <row r="51" spans="1:8" s="1100" customFormat="1" ht="19.5" customHeight="1">
      <c r="A51" s="1147" t="s">
        <v>910</v>
      </c>
      <c r="B51" s="1063">
        <v>0.7</v>
      </c>
      <c r="C51" s="1063">
        <v>0.4</v>
      </c>
      <c r="D51" s="1063">
        <v>0.28000000000000003</v>
      </c>
      <c r="E51" s="1063">
        <v>0.25</v>
      </c>
      <c r="F51" s="1063">
        <v>0.25</v>
      </c>
      <c r="G51" s="1063">
        <v>0.25</v>
      </c>
      <c r="H51" s="1063">
        <v>0.2</v>
      </c>
    </row>
    <row r="52" spans="1:8" s="1100" customFormat="1" ht="19.5" customHeight="1">
      <c r="A52" s="1147" t="s">
        <v>911</v>
      </c>
      <c r="B52" s="1063">
        <v>0.6</v>
      </c>
      <c r="C52" s="1063">
        <v>0.3</v>
      </c>
      <c r="D52" s="1063">
        <v>0.2</v>
      </c>
      <c r="E52" s="1063">
        <v>0.2</v>
      </c>
      <c r="F52" s="1063">
        <v>0.2</v>
      </c>
      <c r="G52" s="1063">
        <v>0.2</v>
      </c>
      <c r="H52" s="1063">
        <v>0.15</v>
      </c>
    </row>
    <row r="53" spans="1:8" s="1100" customFormat="1" ht="19.5" customHeight="1">
      <c r="A53" s="1147" t="s">
        <v>912</v>
      </c>
      <c r="B53" s="1063">
        <v>0.6</v>
      </c>
      <c r="C53" s="1063">
        <v>0.3</v>
      </c>
      <c r="D53" s="1063">
        <v>0.2</v>
      </c>
      <c r="E53" s="1063">
        <v>0.2</v>
      </c>
      <c r="F53" s="1063">
        <v>0.2</v>
      </c>
      <c r="G53" s="1063">
        <v>0.2</v>
      </c>
      <c r="H53" s="1063">
        <v>0.15</v>
      </c>
    </row>
    <row r="54" spans="1:8" s="1100" customFormat="1" ht="19.5" customHeight="1">
      <c r="A54" s="1147" t="s">
        <v>913</v>
      </c>
      <c r="B54" s="1063">
        <v>0.6</v>
      </c>
      <c r="C54" s="1063">
        <v>0.3</v>
      </c>
      <c r="D54" s="1063">
        <v>0.2</v>
      </c>
      <c r="E54" s="1063">
        <v>0.2</v>
      </c>
      <c r="F54" s="1063">
        <v>0.2</v>
      </c>
      <c r="G54" s="1063">
        <v>0.2</v>
      </c>
      <c r="H54" s="1063">
        <v>0.15</v>
      </c>
    </row>
    <row r="55" spans="1:8" s="1100" customFormat="1" ht="19.5" customHeight="1">
      <c r="A55" s="1147" t="s">
        <v>914</v>
      </c>
      <c r="B55" s="1063">
        <v>0.6</v>
      </c>
      <c r="C55" s="1063">
        <v>0.3</v>
      </c>
      <c r="D55" s="1063">
        <v>0.2</v>
      </c>
      <c r="E55" s="1063">
        <v>0.2</v>
      </c>
      <c r="F55" s="1063">
        <v>0.2</v>
      </c>
      <c r="G55" s="1063">
        <v>0.2</v>
      </c>
      <c r="H55" s="1063">
        <v>0.15</v>
      </c>
    </row>
    <row r="56" spans="1:8" s="1100" customFormat="1" ht="19.5" customHeight="1">
      <c r="A56" s="1147" t="s">
        <v>915</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77" t="s">
        <v>1498</v>
      </c>
      <c r="C61" s="1063" t="s">
        <v>1499</v>
      </c>
      <c r="D61" s="1063" t="s">
        <v>1500</v>
      </c>
      <c r="E61" s="1134">
        <v>0.5</v>
      </c>
      <c r="F61" s="1149">
        <v>80</v>
      </c>
      <c r="H61" s="1100">
        <f>SUMIF(C59:C119,'基准地价（娱乐）'!C8,E59:E119)</f>
        <v>0</v>
      </c>
    </row>
    <row r="62" spans="1:8" s="1100" customFormat="1" ht="24">
      <c r="A62" s="1149">
        <v>2</v>
      </c>
      <c r="B62" s="3477"/>
      <c r="C62" s="1063" t="s">
        <v>1501</v>
      </c>
      <c r="D62" s="1063" t="s">
        <v>1502</v>
      </c>
      <c r="E62" s="1134">
        <v>0.5</v>
      </c>
      <c r="F62" s="1149">
        <v>80</v>
      </c>
    </row>
    <row r="63" spans="1:8" s="1100" customFormat="1" ht="36">
      <c r="A63" s="1149">
        <v>3</v>
      </c>
      <c r="B63" s="3477"/>
      <c r="C63" s="1063" t="s">
        <v>1503</v>
      </c>
      <c r="D63" s="1063" t="s">
        <v>1504</v>
      </c>
      <c r="E63" s="1134">
        <v>0.5</v>
      </c>
      <c r="F63" s="1149">
        <v>80</v>
      </c>
    </row>
    <row r="64" spans="1:8" s="1100" customFormat="1" ht="36">
      <c r="A64" s="1149">
        <v>4</v>
      </c>
      <c r="B64" s="3477"/>
      <c r="C64" s="1063" t="s">
        <v>1505</v>
      </c>
      <c r="D64" s="1063" t="s">
        <v>1506</v>
      </c>
      <c r="E64" s="1134">
        <v>0.4</v>
      </c>
      <c r="F64" s="1149">
        <v>60</v>
      </c>
    </row>
    <row r="65" spans="1:6" s="1100" customFormat="1" ht="36">
      <c r="A65" s="1149">
        <v>5</v>
      </c>
      <c r="B65" s="3477"/>
      <c r="C65" s="1063" t="s">
        <v>1507</v>
      </c>
      <c r="D65" s="1063" t="s">
        <v>1508</v>
      </c>
      <c r="E65" s="1134">
        <v>0.2</v>
      </c>
      <c r="F65" s="1149">
        <v>30</v>
      </c>
    </row>
    <row r="66" spans="1:6" s="1100" customFormat="1" ht="36">
      <c r="A66" s="1149">
        <v>6</v>
      </c>
      <c r="B66" s="3477"/>
      <c r="C66" s="1063" t="s">
        <v>1509</v>
      </c>
      <c r="D66" s="1063" t="s">
        <v>1510</v>
      </c>
      <c r="E66" s="1134">
        <v>0.3</v>
      </c>
      <c r="F66" s="1149">
        <v>50</v>
      </c>
    </row>
    <row r="67" spans="1:6" s="1100" customFormat="1" ht="36">
      <c r="A67" s="1149">
        <v>7</v>
      </c>
      <c r="B67" s="3477"/>
      <c r="C67" s="1063" t="s">
        <v>1511</v>
      </c>
      <c r="D67" s="1063" t="s">
        <v>1512</v>
      </c>
      <c r="E67" s="1134">
        <v>0.2</v>
      </c>
      <c r="F67" s="1149">
        <v>30</v>
      </c>
    </row>
    <row r="68" spans="1:6" s="1100" customFormat="1" ht="36">
      <c r="A68" s="1149">
        <v>8</v>
      </c>
      <c r="B68" s="3477"/>
      <c r="C68" s="1063" t="s">
        <v>1513</v>
      </c>
      <c r="D68" s="1063" t="s">
        <v>1514</v>
      </c>
      <c r="E68" s="1134">
        <v>0.2</v>
      </c>
      <c r="F68" s="1149">
        <v>30</v>
      </c>
    </row>
    <row r="69" spans="1:6" s="1100" customFormat="1" ht="36">
      <c r="A69" s="1149">
        <v>9</v>
      </c>
      <c r="B69" s="3477"/>
      <c r="C69" s="1063" t="s">
        <v>1515</v>
      </c>
      <c r="D69" s="1063" t="s">
        <v>1516</v>
      </c>
      <c r="E69" s="1134">
        <v>0.2</v>
      </c>
      <c r="F69" s="1149">
        <v>30</v>
      </c>
    </row>
    <row r="70" spans="1:6" s="1100" customFormat="1" ht="48">
      <c r="A70" s="1149">
        <v>10</v>
      </c>
      <c r="B70" s="3477"/>
      <c r="C70" s="1063" t="s">
        <v>1517</v>
      </c>
      <c r="D70" s="1063" t="s">
        <v>1518</v>
      </c>
      <c r="E70" s="1134">
        <v>0.2</v>
      </c>
      <c r="F70" s="1149">
        <v>30</v>
      </c>
    </row>
    <row r="71" spans="1:6" s="1100" customFormat="1" ht="48">
      <c r="A71" s="1149">
        <v>11</v>
      </c>
      <c r="B71" s="3477"/>
      <c r="C71" s="1063" t="s">
        <v>1519</v>
      </c>
      <c r="D71" s="1063" t="s">
        <v>1520</v>
      </c>
      <c r="E71" s="1134">
        <v>0.2</v>
      </c>
      <c r="F71" s="1149">
        <v>30</v>
      </c>
    </row>
    <row r="72" spans="1:6" s="1100" customFormat="1" ht="36">
      <c r="A72" s="1149">
        <v>12</v>
      </c>
      <c r="B72" s="3477"/>
      <c r="C72" s="1063" t="s">
        <v>1521</v>
      </c>
      <c r="D72" s="1063" t="s">
        <v>1522</v>
      </c>
      <c r="E72" s="1134">
        <v>0.5</v>
      </c>
      <c r="F72" s="1149">
        <v>80</v>
      </c>
    </row>
    <row r="73" spans="1:6" s="1100" customFormat="1" ht="24">
      <c r="A73" s="1149">
        <v>13</v>
      </c>
      <c r="B73" s="3477"/>
      <c r="C73" s="1063" t="s">
        <v>1523</v>
      </c>
      <c r="D73" s="1063" t="s">
        <v>1524</v>
      </c>
      <c r="E73" s="1134">
        <v>0.4</v>
      </c>
      <c r="F73" s="1149">
        <v>60</v>
      </c>
    </row>
    <row r="74" spans="1:6" s="1100" customFormat="1" ht="24">
      <c r="A74" s="1149">
        <v>14</v>
      </c>
      <c r="B74" s="3477"/>
      <c r="C74" s="1063" t="s">
        <v>1525</v>
      </c>
      <c r="D74" s="1063" t="s">
        <v>1526</v>
      </c>
      <c r="E74" s="1134">
        <v>0.2</v>
      </c>
      <c r="F74" s="1149">
        <v>30</v>
      </c>
    </row>
    <row r="75" spans="1:6" s="1100" customFormat="1" ht="24">
      <c r="A75" s="1149">
        <v>15</v>
      </c>
      <c r="B75" s="3477"/>
      <c r="C75" s="1063" t="s">
        <v>1527</v>
      </c>
      <c r="D75" s="1063" t="s">
        <v>1528</v>
      </c>
      <c r="E75" s="1134">
        <v>0.2</v>
      </c>
      <c r="F75" s="1149">
        <v>30</v>
      </c>
    </row>
    <row r="76" spans="1:6" s="1100" customFormat="1" ht="24">
      <c r="A76" s="1149">
        <v>16</v>
      </c>
      <c r="B76" s="3477" t="s">
        <v>1529</v>
      </c>
      <c r="C76" s="1063" t="s">
        <v>1530</v>
      </c>
      <c r="D76" s="1063" t="s">
        <v>1531</v>
      </c>
      <c r="E76" s="1134">
        <v>0.5</v>
      </c>
      <c r="F76" s="1149">
        <v>80</v>
      </c>
    </row>
    <row r="77" spans="1:6" s="1100" customFormat="1" ht="24">
      <c r="A77" s="1149">
        <v>17</v>
      </c>
      <c r="B77" s="3477"/>
      <c r="C77" s="1063" t="s">
        <v>1532</v>
      </c>
      <c r="D77" s="1063" t="s">
        <v>1533</v>
      </c>
      <c r="E77" s="1134">
        <v>0.5</v>
      </c>
      <c r="F77" s="1149">
        <v>80</v>
      </c>
    </row>
    <row r="78" spans="1:6" s="1100" customFormat="1" ht="24">
      <c r="A78" s="1149">
        <v>18</v>
      </c>
      <c r="B78" s="3477"/>
      <c r="C78" s="1063" t="s">
        <v>1534</v>
      </c>
      <c r="D78" s="1063" t="s">
        <v>1535</v>
      </c>
      <c r="E78" s="1134">
        <v>0.2</v>
      </c>
      <c r="F78" s="1149">
        <v>30</v>
      </c>
    </row>
    <row r="79" spans="1:6" s="1100" customFormat="1" ht="24">
      <c r="A79" s="1149">
        <v>19</v>
      </c>
      <c r="B79" s="3477"/>
      <c r="C79" s="1063" t="s">
        <v>1536</v>
      </c>
      <c r="D79" s="1063" t="s">
        <v>1537</v>
      </c>
      <c r="E79" s="1134">
        <v>0.5</v>
      </c>
      <c r="F79" s="1149">
        <v>80</v>
      </c>
    </row>
    <row r="80" spans="1:6" s="1100" customFormat="1" ht="36">
      <c r="A80" s="1149">
        <v>20</v>
      </c>
      <c r="B80" s="3477"/>
      <c r="C80" s="1063" t="s">
        <v>1538</v>
      </c>
      <c r="D80" s="1063" t="s">
        <v>1539</v>
      </c>
      <c r="E80" s="1134">
        <v>0.2</v>
      </c>
      <c r="F80" s="1149">
        <v>30</v>
      </c>
    </row>
    <row r="81" spans="1:6" s="1100" customFormat="1" ht="36">
      <c r="A81" s="1149">
        <v>21</v>
      </c>
      <c r="B81" s="3477"/>
      <c r="C81" s="1063" t="s">
        <v>1540</v>
      </c>
      <c r="D81" s="1063" t="s">
        <v>1541</v>
      </c>
      <c r="E81" s="1134">
        <v>0.2</v>
      </c>
      <c r="F81" s="1149">
        <v>30</v>
      </c>
    </row>
    <row r="82" spans="1:6" s="1100" customFormat="1" ht="48">
      <c r="A82" s="1149">
        <v>22</v>
      </c>
      <c r="B82" s="3477"/>
      <c r="C82" s="1063" t="s">
        <v>1542</v>
      </c>
      <c r="D82" s="1063" t="s">
        <v>1543</v>
      </c>
      <c r="E82" s="1134">
        <v>0.2</v>
      </c>
      <c r="F82" s="1149">
        <v>30</v>
      </c>
    </row>
    <row r="83" spans="1:6" s="1100" customFormat="1" ht="48">
      <c r="A83" s="1149">
        <v>23</v>
      </c>
      <c r="B83" s="3477"/>
      <c r="C83" s="1063" t="s">
        <v>1544</v>
      </c>
      <c r="D83" s="1063" t="s">
        <v>1545</v>
      </c>
      <c r="E83" s="1134">
        <v>0.2</v>
      </c>
      <c r="F83" s="1149">
        <v>30</v>
      </c>
    </row>
    <row r="84" spans="1:6" s="1100" customFormat="1" ht="36">
      <c r="A84" s="1149">
        <v>24</v>
      </c>
      <c r="B84" s="3477"/>
      <c r="C84" s="1063" t="s">
        <v>1546</v>
      </c>
      <c r="D84" s="1063" t="s">
        <v>1547</v>
      </c>
      <c r="E84" s="1134">
        <v>0.2</v>
      </c>
      <c r="F84" s="1149">
        <v>30</v>
      </c>
    </row>
    <row r="85" spans="1:6" s="1100" customFormat="1" ht="36">
      <c r="A85" s="1149">
        <v>25</v>
      </c>
      <c r="B85" s="3477"/>
      <c r="C85" s="1063" t="s">
        <v>1548</v>
      </c>
      <c r="D85" s="1063" t="s">
        <v>1549</v>
      </c>
      <c r="E85" s="1134">
        <v>0.5</v>
      </c>
      <c r="F85" s="1149">
        <v>80</v>
      </c>
    </row>
    <row r="86" spans="1:6" s="1100" customFormat="1" ht="36">
      <c r="A86" s="1149">
        <v>26</v>
      </c>
      <c r="B86" s="3477"/>
      <c r="C86" s="1063" t="s">
        <v>1550</v>
      </c>
      <c r="D86" s="1063" t="s">
        <v>1551</v>
      </c>
      <c r="E86" s="1134">
        <v>0.2</v>
      </c>
      <c r="F86" s="1149">
        <v>30</v>
      </c>
    </row>
    <row r="87" spans="1:6" s="1100" customFormat="1" ht="36">
      <c r="A87" s="1149">
        <v>27</v>
      </c>
      <c r="B87" s="3477"/>
      <c r="C87" s="1063" t="s">
        <v>1552</v>
      </c>
      <c r="D87" s="1063" t="s">
        <v>1553</v>
      </c>
      <c r="E87" s="1134">
        <v>0.2</v>
      </c>
      <c r="F87" s="1149">
        <v>30</v>
      </c>
    </row>
    <row r="88" spans="1:6" s="1100" customFormat="1" ht="36">
      <c r="A88" s="1149">
        <v>28</v>
      </c>
      <c r="B88" s="3477"/>
      <c r="C88" s="1063" t="s">
        <v>1554</v>
      </c>
      <c r="D88" s="1063" t="s">
        <v>1555</v>
      </c>
      <c r="E88" s="1134">
        <v>0.2</v>
      </c>
      <c r="F88" s="1149">
        <v>30</v>
      </c>
    </row>
    <row r="89" spans="1:6" s="1100" customFormat="1" ht="24">
      <c r="A89" s="1149">
        <v>29</v>
      </c>
      <c r="B89" s="3477"/>
      <c r="C89" s="1063" t="s">
        <v>1556</v>
      </c>
      <c r="D89" s="1063" t="s">
        <v>1557</v>
      </c>
      <c r="E89" s="1134">
        <v>0.2</v>
      </c>
      <c r="F89" s="1149">
        <v>30</v>
      </c>
    </row>
    <row r="90" spans="1:6" s="1100" customFormat="1" ht="24">
      <c r="A90" s="1149">
        <v>30</v>
      </c>
      <c r="B90" s="3477"/>
      <c r="C90" s="1063" t="s">
        <v>1558</v>
      </c>
      <c r="D90" s="1063" t="s">
        <v>1559</v>
      </c>
      <c r="E90" s="1134">
        <v>0.2</v>
      </c>
      <c r="F90" s="1149">
        <v>30</v>
      </c>
    </row>
    <row r="91" spans="1:6" s="1100" customFormat="1" ht="36">
      <c r="A91" s="1149">
        <v>31</v>
      </c>
      <c r="B91" s="3477"/>
      <c r="C91" s="1063" t="s">
        <v>1560</v>
      </c>
      <c r="D91" s="1063" t="s">
        <v>1561</v>
      </c>
      <c r="E91" s="1134">
        <v>0.2</v>
      </c>
      <c r="F91" s="1149">
        <v>30</v>
      </c>
    </row>
    <row r="92" spans="1:6" s="1100" customFormat="1" ht="24">
      <c r="A92" s="1149">
        <v>32</v>
      </c>
      <c r="B92" s="3477" t="s">
        <v>1562</v>
      </c>
      <c r="C92" s="1149" t="s">
        <v>1563</v>
      </c>
      <c r="D92" s="1063" t="s">
        <v>1564</v>
      </c>
      <c r="E92" s="1134">
        <v>0.2</v>
      </c>
      <c r="F92" s="1149">
        <v>30</v>
      </c>
    </row>
    <row r="93" spans="1:6" s="1100" customFormat="1" ht="36">
      <c r="A93" s="1149">
        <v>33</v>
      </c>
      <c r="B93" s="3477"/>
      <c r="C93" s="1149" t="s">
        <v>1565</v>
      </c>
      <c r="D93" s="1063" t="s">
        <v>1566</v>
      </c>
      <c r="E93" s="1134">
        <v>0.2</v>
      </c>
      <c r="F93" s="1149">
        <v>30</v>
      </c>
    </row>
    <row r="94" spans="1:6" s="1100" customFormat="1" ht="48">
      <c r="A94" s="1149">
        <v>34</v>
      </c>
      <c r="B94" s="3477"/>
      <c r="C94" s="1149" t="s">
        <v>1567</v>
      </c>
      <c r="D94" s="1063" t="s">
        <v>1568</v>
      </c>
      <c r="E94" s="1134">
        <v>0.2</v>
      </c>
      <c r="F94" s="1149">
        <v>30</v>
      </c>
    </row>
    <row r="95" spans="1:6" s="1100" customFormat="1" ht="36">
      <c r="A95" s="1149">
        <v>35</v>
      </c>
      <c r="B95" s="3477"/>
      <c r="C95" s="1149" t="s">
        <v>1569</v>
      </c>
      <c r="D95" s="1063" t="s">
        <v>1570</v>
      </c>
      <c r="E95" s="1134">
        <v>0.2</v>
      </c>
      <c r="F95" s="1149">
        <v>30</v>
      </c>
    </row>
    <row r="96" spans="1:6" s="1100" customFormat="1" ht="48">
      <c r="A96" s="1149">
        <v>36</v>
      </c>
      <c r="B96" s="3477"/>
      <c r="C96" s="1063" t="s">
        <v>1571</v>
      </c>
      <c r="D96" s="1063" t="s">
        <v>1572</v>
      </c>
      <c r="E96" s="1134">
        <v>0.2</v>
      </c>
      <c r="F96" s="1149">
        <v>30</v>
      </c>
    </row>
    <row r="97" spans="1:6" s="1100" customFormat="1" ht="36">
      <c r="A97" s="1149">
        <v>37</v>
      </c>
      <c r="B97" s="3477"/>
      <c r="C97" s="1149" t="s">
        <v>1573</v>
      </c>
      <c r="D97" s="1063" t="s">
        <v>1574</v>
      </c>
      <c r="E97" s="1134">
        <v>0.2</v>
      </c>
      <c r="F97" s="1149">
        <v>30</v>
      </c>
    </row>
    <row r="98" spans="1:6" s="1100" customFormat="1" ht="36">
      <c r="A98" s="1149">
        <v>38</v>
      </c>
      <c r="B98" s="3477"/>
      <c r="C98" s="1149" t="s">
        <v>1575</v>
      </c>
      <c r="D98" s="1063" t="s">
        <v>1576</v>
      </c>
      <c r="E98" s="1134">
        <v>0.2</v>
      </c>
      <c r="F98" s="1149">
        <v>30</v>
      </c>
    </row>
    <row r="99" spans="1:6" s="1100" customFormat="1" ht="36">
      <c r="A99" s="1149">
        <v>39</v>
      </c>
      <c r="B99" s="3477" t="s">
        <v>1577</v>
      </c>
      <c r="C99" s="1149" t="s">
        <v>1578</v>
      </c>
      <c r="D99" s="1063" t="s">
        <v>1579</v>
      </c>
      <c r="E99" s="1134">
        <v>0.3</v>
      </c>
      <c r="F99" s="1149">
        <v>50</v>
      </c>
    </row>
    <row r="100" spans="1:6" s="1100" customFormat="1" ht="24">
      <c r="A100" s="1149">
        <v>40</v>
      </c>
      <c r="B100" s="3477"/>
      <c r="C100" s="1149" t="s">
        <v>1580</v>
      </c>
      <c r="D100" s="1063" t="s">
        <v>1581</v>
      </c>
      <c r="E100" s="1134">
        <v>0.2</v>
      </c>
      <c r="F100" s="1149">
        <v>30</v>
      </c>
    </row>
    <row r="101" spans="1:6" s="1100" customFormat="1" ht="36">
      <c r="A101" s="1149">
        <v>41</v>
      </c>
      <c r="B101" s="3477"/>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77" t="s">
        <v>1592</v>
      </c>
      <c r="C105" s="1149" t="s">
        <v>1593</v>
      </c>
      <c r="D105" s="1063" t="s">
        <v>1594</v>
      </c>
      <c r="E105" s="1134">
        <v>0.2</v>
      </c>
      <c r="F105" s="1149">
        <v>30</v>
      </c>
    </row>
    <row r="106" spans="1:6" s="1100" customFormat="1" ht="36">
      <c r="A106" s="1149">
        <v>46</v>
      </c>
      <c r="B106" s="3477"/>
      <c r="C106" s="1149" t="s">
        <v>1595</v>
      </c>
      <c r="D106" s="1063" t="s">
        <v>1596</v>
      </c>
      <c r="E106" s="1134">
        <v>0.2</v>
      </c>
      <c r="F106" s="1149">
        <v>30</v>
      </c>
    </row>
    <row r="107" spans="1:6" s="1100" customFormat="1" ht="36">
      <c r="A107" s="1149">
        <v>47</v>
      </c>
      <c r="B107" s="3477" t="s">
        <v>1597</v>
      </c>
      <c r="C107" s="1149" t="s">
        <v>1598</v>
      </c>
      <c r="D107" s="1063" t="s">
        <v>1599</v>
      </c>
      <c r="E107" s="1134">
        <v>0.3</v>
      </c>
      <c r="F107" s="1149">
        <v>50</v>
      </c>
    </row>
    <row r="108" spans="1:6" s="1100" customFormat="1" ht="36">
      <c r="A108" s="1149">
        <v>48</v>
      </c>
      <c r="B108" s="3477"/>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77" t="s">
        <v>1608</v>
      </c>
      <c r="C111" s="1149" t="s">
        <v>1609</v>
      </c>
      <c r="D111" s="1063" t="s">
        <v>1610</v>
      </c>
      <c r="E111" s="1134">
        <v>0.2</v>
      </c>
      <c r="F111" s="1149">
        <v>30</v>
      </c>
    </row>
    <row r="112" spans="1:6" s="1100" customFormat="1" ht="24">
      <c r="A112" s="1149">
        <v>52</v>
      </c>
      <c r="B112" s="3477"/>
      <c r="C112" s="1149" t="s">
        <v>1611</v>
      </c>
      <c r="D112" s="1063" t="s">
        <v>1612</v>
      </c>
      <c r="E112" s="1134">
        <v>0.2</v>
      </c>
      <c r="F112" s="1149">
        <v>30</v>
      </c>
    </row>
    <row r="113" spans="1:14" s="1100" customFormat="1" ht="24">
      <c r="A113" s="1149">
        <v>53</v>
      </c>
      <c r="B113" s="3477"/>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77" t="s">
        <v>1621</v>
      </c>
      <c r="C116" s="1149" t="s">
        <v>1622</v>
      </c>
      <c r="D116" s="1063" t="s">
        <v>1623</v>
      </c>
      <c r="E116" s="1134">
        <v>0.2</v>
      </c>
      <c r="F116" s="1149">
        <v>30</v>
      </c>
    </row>
    <row r="117" spans="1:14" ht="36">
      <c r="A117" s="1149">
        <v>57</v>
      </c>
      <c r="B117" s="3477"/>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76" t="s">
        <v>1630</v>
      </c>
      <c r="B121" s="3476"/>
      <c r="C121" s="3476"/>
      <c r="D121" s="3476"/>
      <c r="E121" s="3476"/>
      <c r="F121" s="3476"/>
      <c r="G121" s="3476"/>
      <c r="H121" s="3476"/>
      <c r="I121" s="3476"/>
      <c r="J121" s="347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1" t="s">
        <v>1036</v>
      </c>
      <c r="B1" s="3491"/>
      <c r="C1" s="3491"/>
      <c r="D1" s="3491"/>
      <c r="E1" s="3491"/>
      <c r="F1" s="3491"/>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92" t="s">
        <v>1049</v>
      </c>
      <c r="B2" s="3492"/>
      <c r="C2" s="3492"/>
      <c r="D2" s="3492"/>
      <c r="E2" s="3492"/>
      <c r="F2" s="3492"/>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93"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94"/>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SUMPRODUCT((B5:B9='基准地价（娱乐）'!I2)*(C3:F3='基准地价（娱乐）'!E2)*(C5:F9))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SUMPRODUCT((B10:B28='基准地价（娱乐）'!I2)*(C3:F3='基准地价（娱乐）'!E2)*(C10:F28))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906</v>
      </c>
      <c r="H7" s="1083">
        <f>SUMPRODUCT((B29:B48='基准地价（娱乐）'!I2)*(C3:F3='基准地价（娱乐）'!E2)*(C29:F48))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907</v>
      </c>
      <c r="H8" s="1083">
        <f>SUMPRODUCT((B49:B75='基准地价（娱乐）'!I2)*(C3:F3='基准地价（娱乐）'!E2)*(C49:F75))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908</v>
      </c>
      <c r="H9" s="1083">
        <f>SUMPRODUCT((B76:B109='基准地价（娱乐）'!I2)*(C3:F3='基准地价（娱乐）'!E2)*(C76:F109))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909</v>
      </c>
      <c r="H10" s="1083">
        <f>SUMPRODUCT((B110:B157='基准地价（娱乐）'!I2)*(C3:F3='基准地价（娱乐）'!E2)*(C110:F157))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910</v>
      </c>
      <c r="H11" s="1083">
        <f>SUMPRODUCT((B158:B205='基准地价（娱乐）'!I2)*(C3:F3='基准地价（娱乐）'!E2)*(C158:F205))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911</v>
      </c>
      <c r="H12" s="1083">
        <f>SUMPRODUCT((B206:B244='基准地价（娱乐）'!I2)*(C3:F3='基准地价（娱乐）'!E2)*(C206:F244))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912</v>
      </c>
      <c r="H13" s="1083">
        <f>SUMPRODUCT((B245:B289='基准地价（娱乐）'!I2)*(C3:F3='基准地价（娱乐）'!E2)*(C245:F289))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913</v>
      </c>
      <c r="H14" s="1083">
        <f>SUMPRODUCT((B290:B316='基准地价（娱乐）'!I2)*(C3:F3='基准地价（娱乐）'!E2)*(C290:F316))</f>
        <v>2350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914</v>
      </c>
      <c r="H15" s="1083">
        <f>SUMPRODUCT((B317:B337='基准地价（娱乐）'!I2)*(C3:F3='基准地价（娱乐）'!E2)*(C317:F337))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915</v>
      </c>
      <c r="H16" s="1090">
        <f>SUMPRODUCT((B338:B344='基准地价（娱乐）'!I2)*(C3:F3='基准地价（娱乐）'!E2)*(C338:F344))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2419</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922</v>
      </c>
      <c r="B49" s="1077" t="s">
        <v>1401</v>
      </c>
      <c r="C49" s="1077">
        <v>17090</v>
      </c>
      <c r="D49" s="1077">
        <v>16950</v>
      </c>
      <c r="E49" s="1077">
        <v>16310</v>
      </c>
      <c r="F49" s="1078">
        <v>4540</v>
      </c>
      <c r="H49" s="1095"/>
      <c r="N49" s="1070" t="s">
        <v>1402</v>
      </c>
      <c r="O49" s="1070" t="s">
        <v>1403</v>
      </c>
    </row>
    <row r="50" spans="1:15" ht="14.25" customHeight="1" thickBot="1">
      <c r="A50" s="1076" t="s">
        <v>922</v>
      </c>
      <c r="B50" s="1070" t="s">
        <v>1070</v>
      </c>
      <c r="C50" s="1070">
        <v>19040</v>
      </c>
      <c r="D50" s="1070">
        <v>16960</v>
      </c>
      <c r="E50" s="1070">
        <v>14800</v>
      </c>
      <c r="F50" s="1088">
        <v>3940</v>
      </c>
      <c r="H50" s="1095"/>
    </row>
    <row r="51" spans="1:15" ht="14.25" customHeight="1" thickBot="1">
      <c r="A51" s="1076" t="s">
        <v>922</v>
      </c>
      <c r="B51" s="1070" t="s">
        <v>1084</v>
      </c>
      <c r="C51" s="1070">
        <v>17040</v>
      </c>
      <c r="D51" s="1070">
        <v>16930</v>
      </c>
      <c r="E51" s="1070">
        <v>15030</v>
      </c>
      <c r="F51" s="1088">
        <v>4120</v>
      </c>
      <c r="H51" s="1095"/>
    </row>
    <row r="52" spans="1:15" ht="14.25" customHeight="1" thickBot="1">
      <c r="A52" s="1076" t="s">
        <v>922</v>
      </c>
      <c r="B52" s="1070" t="s">
        <v>1097</v>
      </c>
      <c r="C52" s="1070">
        <v>17110</v>
      </c>
      <c r="D52" s="1070">
        <v>17750</v>
      </c>
      <c r="E52" s="1070">
        <v>17310</v>
      </c>
      <c r="F52" s="1088">
        <v>3220</v>
      </c>
      <c r="H52" s="1095"/>
    </row>
    <row r="53" spans="1:15" ht="14.25" customHeight="1" thickBot="1">
      <c r="A53" s="1076" t="s">
        <v>922</v>
      </c>
      <c r="B53" s="1070" t="s">
        <v>1111</v>
      </c>
      <c r="C53" s="1070">
        <v>17810</v>
      </c>
      <c r="D53" s="1070">
        <v>17260</v>
      </c>
      <c r="E53" s="1070">
        <v>17090</v>
      </c>
      <c r="F53" s="1088">
        <v>3520</v>
      </c>
      <c r="H53" s="1095"/>
    </row>
    <row r="54" spans="1:15" ht="14.25" customHeight="1" thickBot="1">
      <c r="A54" s="1076" t="s">
        <v>922</v>
      </c>
      <c r="B54" s="1070" t="s">
        <v>1122</v>
      </c>
      <c r="C54" s="1070">
        <v>17410</v>
      </c>
      <c r="D54" s="1070">
        <v>16780</v>
      </c>
      <c r="E54" s="1070">
        <v>16370</v>
      </c>
      <c r="F54" s="1088">
        <v>3410</v>
      </c>
      <c r="H54" s="1095"/>
    </row>
    <row r="55" spans="1:15" ht="14.25" customHeight="1" thickBot="1">
      <c r="A55" s="1076" t="s">
        <v>922</v>
      </c>
      <c r="B55" s="1070" t="s">
        <v>1133</v>
      </c>
      <c r="C55" s="1070">
        <v>16930</v>
      </c>
      <c r="D55" s="1070">
        <v>14720</v>
      </c>
      <c r="E55" s="1070">
        <v>15000</v>
      </c>
      <c r="F55" s="1088">
        <v>3710</v>
      </c>
      <c r="H55" s="1095"/>
    </row>
    <row r="56" spans="1:15" ht="14.25" customHeight="1" thickBot="1">
      <c r="A56" s="1076" t="s">
        <v>922</v>
      </c>
      <c r="B56" s="1070" t="s">
        <v>1144</v>
      </c>
      <c r="C56" s="1070">
        <v>14930</v>
      </c>
      <c r="D56" s="1070">
        <v>15850</v>
      </c>
      <c r="E56" s="1070">
        <v>14320</v>
      </c>
      <c r="F56" s="1088">
        <v>3960</v>
      </c>
      <c r="H56" s="1095"/>
    </row>
    <row r="57" spans="1:15" ht="14.25" customHeight="1" thickBot="1">
      <c r="A57" s="1076" t="s">
        <v>922</v>
      </c>
      <c r="B57" s="1070" t="s">
        <v>1156</v>
      </c>
      <c r="C57" s="1070">
        <v>16160</v>
      </c>
      <c r="D57" s="1070">
        <v>16190</v>
      </c>
      <c r="E57" s="1070">
        <v>15650</v>
      </c>
      <c r="F57" s="1088">
        <v>4200</v>
      </c>
      <c r="H57" s="1095"/>
    </row>
    <row r="58" spans="1:15" ht="14.25" customHeight="1" thickBot="1">
      <c r="A58" s="1076" t="s">
        <v>922</v>
      </c>
      <c r="B58" s="1070" t="s">
        <v>1166</v>
      </c>
      <c r="C58" s="1070">
        <v>16360</v>
      </c>
      <c r="D58" s="1070">
        <v>14050</v>
      </c>
      <c r="E58" s="1070">
        <v>16070</v>
      </c>
      <c r="F58" s="1088">
        <v>3990</v>
      </c>
      <c r="H58" s="1095"/>
    </row>
    <row r="59" spans="1:15" ht="14.25" customHeight="1" thickBot="1">
      <c r="A59" s="1076" t="s">
        <v>922</v>
      </c>
      <c r="B59" s="1070" t="s">
        <v>1176</v>
      </c>
      <c r="C59" s="1070">
        <v>14160</v>
      </c>
      <c r="D59" s="1070">
        <v>16620</v>
      </c>
      <c r="E59" s="1070">
        <v>13940</v>
      </c>
      <c r="F59" s="1088">
        <v>4260</v>
      </c>
      <c r="H59" s="1095"/>
    </row>
    <row r="60" spans="1:15" ht="14.25" customHeight="1" thickBot="1">
      <c r="A60" s="1076" t="s">
        <v>922</v>
      </c>
      <c r="B60" s="1070" t="s">
        <v>1186</v>
      </c>
      <c r="C60" s="1070">
        <v>16750</v>
      </c>
      <c r="D60" s="1070">
        <v>13910</v>
      </c>
      <c r="E60" s="1070">
        <v>16550</v>
      </c>
      <c r="F60" s="1088">
        <v>4550</v>
      </c>
      <c r="H60" s="1095"/>
    </row>
    <row r="61" spans="1:15" ht="14.25" customHeight="1" thickBot="1">
      <c r="A61" s="1076" t="s">
        <v>922</v>
      </c>
      <c r="B61" s="1070" t="s">
        <v>1196</v>
      </c>
      <c r="C61" s="1070">
        <v>14000</v>
      </c>
      <c r="D61" s="1070">
        <v>14550</v>
      </c>
      <c r="E61" s="1070">
        <v>13860</v>
      </c>
      <c r="F61" s="1097"/>
      <c r="H61" s="1095"/>
    </row>
    <row r="62" spans="1:15" ht="14.25" customHeight="1" thickBot="1">
      <c r="A62" s="1076" t="s">
        <v>922</v>
      </c>
      <c r="B62" s="1070" t="s">
        <v>1206</v>
      </c>
      <c r="C62" s="1070">
        <v>14660</v>
      </c>
      <c r="D62" s="1070">
        <v>17450</v>
      </c>
      <c r="E62" s="1070">
        <v>14470</v>
      </c>
      <c r="F62" s="1097"/>
      <c r="H62" s="1095"/>
    </row>
    <row r="63" spans="1:15" ht="14.25" customHeight="1" thickBot="1">
      <c r="A63" s="1076" t="s">
        <v>922</v>
      </c>
      <c r="B63" s="1070" t="s">
        <v>1216</v>
      </c>
      <c r="C63" s="1070">
        <v>17610</v>
      </c>
      <c r="D63" s="1070">
        <v>16500</v>
      </c>
      <c r="E63" s="1070">
        <v>17330</v>
      </c>
      <c r="F63" s="1097"/>
      <c r="H63" s="1095"/>
    </row>
    <row r="64" spans="1:15" ht="14.25" customHeight="1" thickBot="1">
      <c r="A64" s="1076" t="s">
        <v>922</v>
      </c>
      <c r="B64" s="1070" t="s">
        <v>1226</v>
      </c>
      <c r="C64" s="1070">
        <v>16590</v>
      </c>
      <c r="D64" s="1070">
        <v>15130</v>
      </c>
      <c r="E64" s="1070">
        <v>16420</v>
      </c>
      <c r="F64" s="1097"/>
      <c r="H64" s="1095"/>
    </row>
    <row r="65" spans="1:8" s="1064" customFormat="1" ht="14.25" customHeight="1" thickBot="1">
      <c r="A65" s="1076" t="s">
        <v>922</v>
      </c>
      <c r="B65" s="1070" t="s">
        <v>1236</v>
      </c>
      <c r="C65" s="1070">
        <v>15220</v>
      </c>
      <c r="D65" s="1070">
        <v>14660</v>
      </c>
      <c r="E65" s="1070">
        <v>15060</v>
      </c>
      <c r="F65" s="1088"/>
      <c r="H65" s="1095"/>
    </row>
    <row r="66" spans="1:8" s="1064" customFormat="1" ht="14.25" customHeight="1" thickBot="1">
      <c r="A66" s="1076" t="s">
        <v>922</v>
      </c>
      <c r="B66" s="1070" t="s">
        <v>1246</v>
      </c>
      <c r="C66" s="1070">
        <v>14720</v>
      </c>
      <c r="D66" s="1070">
        <v>15970</v>
      </c>
      <c r="E66" s="1070">
        <v>14610</v>
      </c>
      <c r="F66" s="1088"/>
      <c r="H66" s="1095"/>
    </row>
    <row r="67" spans="1:8" s="1064" customFormat="1" ht="14.25" customHeight="1" thickBot="1">
      <c r="A67" s="1076" t="s">
        <v>922</v>
      </c>
      <c r="B67" s="1070" t="s">
        <v>1256</v>
      </c>
      <c r="C67" s="1070">
        <v>16080</v>
      </c>
      <c r="D67" s="1070">
        <v>14840</v>
      </c>
      <c r="E67" s="1070">
        <v>15630</v>
      </c>
      <c r="F67" s="1088"/>
      <c r="H67" s="1095"/>
    </row>
    <row r="68" spans="1:8" s="1064" customFormat="1" ht="14.25" customHeight="1" thickBot="1">
      <c r="A68" s="1076" t="s">
        <v>922</v>
      </c>
      <c r="B68" s="1070" t="s">
        <v>1265</v>
      </c>
      <c r="C68" s="1070">
        <v>14940</v>
      </c>
      <c r="D68" s="1070">
        <v>18000</v>
      </c>
      <c r="E68" s="1070">
        <v>14040</v>
      </c>
      <c r="F68" s="1088"/>
      <c r="H68" s="1095"/>
    </row>
    <row r="69" spans="1:8" s="1064" customFormat="1" ht="14.25" customHeight="1" thickBot="1">
      <c r="A69" s="1076" t="s">
        <v>922</v>
      </c>
      <c r="B69" s="1070" t="s">
        <v>1274</v>
      </c>
      <c r="C69" s="1070">
        <v>18810</v>
      </c>
      <c r="D69" s="1070">
        <v>15100</v>
      </c>
      <c r="E69" s="1070">
        <v>14710</v>
      </c>
      <c r="F69" s="1088"/>
      <c r="H69" s="1095"/>
    </row>
    <row r="70" spans="1:8" s="1064" customFormat="1" ht="14.25" customHeight="1" thickBot="1">
      <c r="A70" s="1076" t="s">
        <v>922</v>
      </c>
      <c r="B70" s="1070" t="s">
        <v>1282</v>
      </c>
      <c r="C70" s="1070">
        <v>18270</v>
      </c>
      <c r="D70" s="1070"/>
      <c r="E70" s="1070"/>
      <c r="F70" s="1088"/>
      <c r="H70" s="1095"/>
    </row>
    <row r="71" spans="1:8" s="1064" customFormat="1" ht="14.25" customHeight="1" thickBot="1">
      <c r="A71" s="1076" t="s">
        <v>922</v>
      </c>
      <c r="B71" s="1070" t="s">
        <v>1289</v>
      </c>
      <c r="C71" s="1070">
        <v>15230</v>
      </c>
      <c r="D71" s="1070"/>
      <c r="E71" s="1070"/>
      <c r="F71" s="1088"/>
      <c r="H71" s="1095"/>
    </row>
    <row r="72" spans="1:8" s="1064" customFormat="1" ht="14.25" customHeight="1" thickBot="1">
      <c r="A72" s="1076" t="s">
        <v>922</v>
      </c>
      <c r="B72" s="1070" t="s">
        <v>1296</v>
      </c>
      <c r="C72" s="1070"/>
      <c r="D72" s="1070"/>
      <c r="E72" s="1070"/>
      <c r="F72" s="1088">
        <v>4120</v>
      </c>
      <c r="H72" s="1095"/>
    </row>
    <row r="73" spans="1:8" s="1064" customFormat="1" ht="14.25" customHeight="1" thickBot="1">
      <c r="A73" s="1076" t="s">
        <v>922</v>
      </c>
      <c r="B73" s="1070" t="s">
        <v>1303</v>
      </c>
      <c r="C73" s="1070"/>
      <c r="D73" s="1070"/>
      <c r="E73" s="1070"/>
      <c r="F73" s="1088">
        <v>3930</v>
      </c>
      <c r="H73" s="1095"/>
    </row>
    <row r="74" spans="1:8" s="1064" customFormat="1" ht="14.25" customHeight="1" thickBot="1">
      <c r="A74" s="1076" t="s">
        <v>922</v>
      </c>
      <c r="B74" s="1070" t="s">
        <v>1310</v>
      </c>
      <c r="C74" s="1070"/>
      <c r="D74" s="1070"/>
      <c r="E74" s="1070"/>
      <c r="F74" s="1088">
        <v>4060</v>
      </c>
      <c r="H74" s="1095"/>
    </row>
    <row r="75" spans="1:8" s="1064" customFormat="1" ht="14.25" customHeight="1" thickBot="1">
      <c r="A75" s="1076" t="s">
        <v>922</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2420</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914</v>
      </c>
      <c r="B317" s="1077" t="s">
        <v>1421</v>
      </c>
      <c r="C317" s="1077">
        <v>1200</v>
      </c>
      <c r="D317" s="1077">
        <v>1180</v>
      </c>
      <c r="E317" s="1077">
        <v>1160</v>
      </c>
      <c r="F317" s="1078">
        <v>370</v>
      </c>
      <c r="H317" s="1061"/>
    </row>
    <row r="318" spans="1:8" s="1064" customFormat="1" ht="14.25" customHeight="1" thickBot="1">
      <c r="A318" s="1076" t="s">
        <v>914</v>
      </c>
      <c r="B318" s="1070" t="s">
        <v>1422</v>
      </c>
      <c r="C318" s="1070">
        <v>1090</v>
      </c>
      <c r="D318" s="1070">
        <v>1060</v>
      </c>
      <c r="E318" s="1070">
        <v>1040</v>
      </c>
      <c r="F318" s="1097"/>
      <c r="H318" s="1061"/>
    </row>
    <row r="319" spans="1:8" s="1064" customFormat="1" ht="14.25" customHeight="1" thickBot="1">
      <c r="A319" s="1076" t="s">
        <v>914</v>
      </c>
      <c r="B319" s="1070" t="s">
        <v>1423</v>
      </c>
      <c r="C319" s="1070">
        <v>1520</v>
      </c>
      <c r="D319" s="1070">
        <v>1470</v>
      </c>
      <c r="E319" s="1070">
        <v>1440</v>
      </c>
      <c r="F319" s="1088">
        <v>370</v>
      </c>
      <c r="H319" s="1061"/>
    </row>
    <row r="320" spans="1:8" s="1064" customFormat="1" ht="14.25" customHeight="1" thickBot="1">
      <c r="A320" s="1076" t="s">
        <v>914</v>
      </c>
      <c r="B320" s="1070" t="s">
        <v>1104</v>
      </c>
      <c r="C320" s="1070">
        <v>1360</v>
      </c>
      <c r="D320" s="1070">
        <v>1300</v>
      </c>
      <c r="E320" s="1070">
        <v>1270</v>
      </c>
      <c r="F320" s="1097"/>
      <c r="H320" s="1061"/>
    </row>
    <row r="321" spans="1:8" s="1064" customFormat="1" ht="14.25" customHeight="1" thickBot="1">
      <c r="A321" s="1076" t="s">
        <v>914</v>
      </c>
      <c r="B321" s="1070" t="s">
        <v>1118</v>
      </c>
      <c r="C321" s="1070">
        <v>1750</v>
      </c>
      <c r="D321" s="1070">
        <v>1690</v>
      </c>
      <c r="E321" s="1070">
        <v>1660</v>
      </c>
      <c r="F321" s="1097"/>
      <c r="H321" s="1061"/>
    </row>
    <row r="322" spans="1:8" s="1064" customFormat="1" ht="14.25" customHeight="1" thickBot="1">
      <c r="A322" s="1076" t="s">
        <v>914</v>
      </c>
      <c r="B322" s="1070" t="s">
        <v>1129</v>
      </c>
      <c r="C322" s="1070">
        <v>1650</v>
      </c>
      <c r="D322" s="1070">
        <v>1610</v>
      </c>
      <c r="E322" s="1070">
        <v>1580</v>
      </c>
      <c r="F322" s="1088">
        <v>500</v>
      </c>
      <c r="H322" s="1061"/>
    </row>
    <row r="323" spans="1:8" s="1064" customFormat="1" ht="14.25" customHeight="1" thickBot="1">
      <c r="A323" s="1076" t="s">
        <v>914</v>
      </c>
      <c r="B323" s="1070" t="s">
        <v>1140</v>
      </c>
      <c r="C323" s="1070">
        <v>1780</v>
      </c>
      <c r="D323" s="1070">
        <v>1740</v>
      </c>
      <c r="E323" s="1070">
        <v>1720</v>
      </c>
      <c r="F323" s="1097"/>
      <c r="H323" s="1061"/>
    </row>
    <row r="324" spans="1:8" s="1064" customFormat="1" ht="14.25" customHeight="1" thickBot="1">
      <c r="A324" s="1076" t="s">
        <v>914</v>
      </c>
      <c r="B324" s="1070" t="s">
        <v>1151</v>
      </c>
      <c r="C324" s="1070">
        <v>1650</v>
      </c>
      <c r="D324" s="1070">
        <v>1610</v>
      </c>
      <c r="E324" s="1070">
        <v>1580</v>
      </c>
      <c r="F324" s="1097"/>
      <c r="H324" s="1061"/>
    </row>
    <row r="325" spans="1:8" s="1064" customFormat="1" ht="14.25" customHeight="1" thickBot="1">
      <c r="A325" s="1076" t="s">
        <v>914</v>
      </c>
      <c r="B325" s="1070" t="s">
        <v>1163</v>
      </c>
      <c r="C325" s="1070">
        <v>1330</v>
      </c>
      <c r="D325" s="1070">
        <v>1270</v>
      </c>
      <c r="E325" s="1070">
        <v>1240</v>
      </c>
      <c r="F325" s="1088">
        <v>430</v>
      </c>
      <c r="H325" s="1061"/>
    </row>
    <row r="326" spans="1:8" s="1064" customFormat="1" ht="14.25" customHeight="1" thickBot="1">
      <c r="A326" s="1076" t="s">
        <v>914</v>
      </c>
      <c r="B326" s="1070" t="s">
        <v>1173</v>
      </c>
      <c r="C326" s="1070">
        <v>1470</v>
      </c>
      <c r="D326" s="1070">
        <v>1430</v>
      </c>
      <c r="E326" s="1070">
        <v>1400</v>
      </c>
      <c r="F326" s="1097"/>
      <c r="H326" s="1061"/>
    </row>
    <row r="327" spans="1:8" s="1064" customFormat="1" ht="14.25" customHeight="1" thickBot="1">
      <c r="A327" s="1076" t="s">
        <v>914</v>
      </c>
      <c r="B327" s="1070" t="s">
        <v>1183</v>
      </c>
      <c r="C327" s="1070">
        <v>1420</v>
      </c>
      <c r="D327" s="1070">
        <v>1380</v>
      </c>
      <c r="E327" s="1070">
        <v>1360</v>
      </c>
      <c r="F327" s="1088">
        <v>420</v>
      </c>
      <c r="H327" s="1061"/>
    </row>
    <row r="328" spans="1:8" s="1064" customFormat="1" ht="14.25" customHeight="1" thickBot="1">
      <c r="A328" s="1076" t="s">
        <v>914</v>
      </c>
      <c r="B328" s="1070" t="s">
        <v>1193</v>
      </c>
      <c r="C328" s="1070">
        <v>1400</v>
      </c>
      <c r="D328" s="1070">
        <v>1360</v>
      </c>
      <c r="E328" s="1070">
        <v>1330</v>
      </c>
      <c r="F328" s="1088">
        <v>460</v>
      </c>
      <c r="H328" s="1061"/>
    </row>
    <row r="329" spans="1:8" s="1064" customFormat="1" ht="14.25" customHeight="1" thickBot="1">
      <c r="A329" s="1076" t="s">
        <v>914</v>
      </c>
      <c r="B329" s="1070" t="s">
        <v>1203</v>
      </c>
      <c r="C329" s="1070">
        <v>1640</v>
      </c>
      <c r="D329" s="1070">
        <v>1610</v>
      </c>
      <c r="E329" s="1070">
        <v>1580</v>
      </c>
      <c r="F329" s="1088">
        <v>410</v>
      </c>
      <c r="H329" s="1061"/>
    </row>
    <row r="330" spans="1:8" s="1064" customFormat="1" ht="14.25" customHeight="1" thickBot="1">
      <c r="A330" s="1076" t="s">
        <v>914</v>
      </c>
      <c r="B330" s="1070" t="s">
        <v>1213</v>
      </c>
      <c r="C330" s="1070">
        <v>1260</v>
      </c>
      <c r="D330" s="1070">
        <v>1220</v>
      </c>
      <c r="E330" s="1070">
        <v>1200</v>
      </c>
      <c r="F330" s="1097"/>
      <c r="H330" s="1061"/>
    </row>
    <row r="331" spans="1:8" s="1064" customFormat="1" ht="14.25" customHeight="1" thickBot="1">
      <c r="A331" s="1076" t="s">
        <v>914</v>
      </c>
      <c r="B331" s="1070" t="s">
        <v>1223</v>
      </c>
      <c r="C331" s="1070">
        <v>1620</v>
      </c>
      <c r="D331" s="1070">
        <v>1560</v>
      </c>
      <c r="E331" s="1070">
        <v>1530</v>
      </c>
      <c r="F331" s="1088">
        <v>490</v>
      </c>
      <c r="H331" s="1061"/>
    </row>
    <row r="332" spans="1:8" s="1064" customFormat="1" ht="14.25" customHeight="1" thickBot="1">
      <c r="A332" s="1076" t="s">
        <v>914</v>
      </c>
      <c r="B332" s="1070" t="s">
        <v>1233</v>
      </c>
      <c r="C332" s="1070">
        <v>1520</v>
      </c>
      <c r="D332" s="1070">
        <v>1470</v>
      </c>
      <c r="E332" s="1070">
        <v>1440</v>
      </c>
      <c r="F332" s="1088">
        <v>440</v>
      </c>
      <c r="H332" s="1061"/>
    </row>
    <row r="333" spans="1:8" s="1064" customFormat="1" ht="14.25" customHeight="1" thickBot="1">
      <c r="A333" s="1076" t="s">
        <v>914</v>
      </c>
      <c r="B333" s="1070" t="s">
        <v>1243</v>
      </c>
      <c r="C333" s="1070">
        <v>1370</v>
      </c>
      <c r="D333" s="1070">
        <v>1320</v>
      </c>
      <c r="E333" s="1070">
        <v>1300</v>
      </c>
      <c r="F333" s="1088">
        <v>460</v>
      </c>
      <c r="H333" s="1061"/>
    </row>
    <row r="334" spans="1:8" s="1064" customFormat="1" ht="14.25" customHeight="1" thickBot="1">
      <c r="A334" s="1076" t="s">
        <v>914</v>
      </c>
      <c r="B334" s="1070" t="s">
        <v>1253</v>
      </c>
      <c r="C334" s="1070">
        <v>1410</v>
      </c>
      <c r="D334" s="1070">
        <v>1340</v>
      </c>
      <c r="E334" s="1070">
        <v>1310</v>
      </c>
      <c r="F334" s="1088">
        <v>410</v>
      </c>
      <c r="H334" s="1061"/>
    </row>
    <row r="335" spans="1:8" s="1064" customFormat="1" ht="14.25" customHeight="1" thickBot="1">
      <c r="A335" s="1076" t="s">
        <v>914</v>
      </c>
      <c r="B335" s="1070" t="s">
        <v>1263</v>
      </c>
      <c r="C335" s="1070">
        <v>1260</v>
      </c>
      <c r="D335" s="1070">
        <v>1220</v>
      </c>
      <c r="E335" s="1070">
        <v>1200</v>
      </c>
      <c r="F335" s="1097"/>
      <c r="H335" s="1061"/>
    </row>
    <row r="336" spans="1:8" s="1064" customFormat="1" ht="14.25" customHeight="1" thickBot="1">
      <c r="A336" s="1076" t="s">
        <v>914</v>
      </c>
      <c r="B336" s="1070" t="s">
        <v>1272</v>
      </c>
      <c r="C336" s="1070">
        <v>1160</v>
      </c>
      <c r="D336" s="1070">
        <v>1140</v>
      </c>
      <c r="E336" s="1070">
        <v>1120</v>
      </c>
      <c r="F336" s="1088">
        <v>430</v>
      </c>
      <c r="H336" s="1061"/>
    </row>
    <row r="337" spans="1:8" s="1064" customFormat="1" ht="14.25" customHeight="1" thickBot="1">
      <c r="A337" s="1076" t="s">
        <v>914</v>
      </c>
      <c r="B337" s="1086" t="s">
        <v>1281</v>
      </c>
      <c r="C337" s="1086"/>
      <c r="D337" s="1086"/>
      <c r="E337" s="1086"/>
      <c r="F337" s="1096">
        <v>380</v>
      </c>
      <c r="H337" s="1061"/>
    </row>
    <row r="338" spans="1:8" s="1064" customFormat="1" ht="14.25" customHeight="1" thickBot="1">
      <c r="A338" s="1076" t="s">
        <v>915</v>
      </c>
      <c r="B338" s="1077" t="s">
        <v>1424</v>
      </c>
      <c r="C338" s="1077">
        <v>880</v>
      </c>
      <c r="D338" s="1077">
        <v>850</v>
      </c>
      <c r="E338" s="1077">
        <v>830</v>
      </c>
      <c r="F338" s="1099"/>
      <c r="H338" s="1061"/>
    </row>
    <row r="339" spans="1:8" s="1064" customFormat="1" ht="14.25" customHeight="1" thickBot="1">
      <c r="A339" s="1076" t="s">
        <v>915</v>
      </c>
      <c r="B339" s="1070" t="s">
        <v>1425</v>
      </c>
      <c r="C339" s="1070">
        <v>830</v>
      </c>
      <c r="D339" s="1070">
        <v>800</v>
      </c>
      <c r="E339" s="1070">
        <v>780</v>
      </c>
      <c r="F339" s="1097"/>
      <c r="H339" s="1061"/>
    </row>
    <row r="340" spans="1:8" s="1064" customFormat="1" ht="14.25" customHeight="1" thickBot="1">
      <c r="A340" s="1076" t="s">
        <v>915</v>
      </c>
      <c r="B340" s="1070" t="s">
        <v>1426</v>
      </c>
      <c r="C340" s="1070">
        <v>980</v>
      </c>
      <c r="D340" s="1070">
        <v>950</v>
      </c>
      <c r="E340" s="1070">
        <v>920</v>
      </c>
      <c r="F340" s="1097"/>
      <c r="H340" s="1061"/>
    </row>
    <row r="341" spans="1:8" s="1064" customFormat="1" ht="14.25" customHeight="1" thickBot="1">
      <c r="A341" s="1076" t="s">
        <v>915</v>
      </c>
      <c r="B341" s="1070" t="s">
        <v>1427</v>
      </c>
      <c r="C341" s="1070">
        <v>760</v>
      </c>
      <c r="D341" s="1070">
        <v>720</v>
      </c>
      <c r="E341" s="1070">
        <v>690</v>
      </c>
      <c r="F341" s="1088">
        <v>350</v>
      </c>
      <c r="H341" s="1061"/>
    </row>
    <row r="342" spans="1:8" s="1064" customFormat="1" ht="14.25" customHeight="1" thickBot="1">
      <c r="A342" s="1076" t="s">
        <v>915</v>
      </c>
      <c r="B342" s="1070" t="s">
        <v>1119</v>
      </c>
      <c r="C342" s="1070">
        <v>910</v>
      </c>
      <c r="D342" s="1070">
        <v>870</v>
      </c>
      <c r="E342" s="1070">
        <v>850</v>
      </c>
      <c r="F342" s="1088">
        <v>370</v>
      </c>
      <c r="H342" s="1061"/>
    </row>
    <row r="343" spans="1:8" s="1064" customFormat="1" ht="14.25" customHeight="1" thickBot="1">
      <c r="A343" s="1076" t="s">
        <v>915</v>
      </c>
      <c r="B343" s="1070" t="s">
        <v>1130</v>
      </c>
      <c r="C343" s="1070">
        <v>800</v>
      </c>
      <c r="D343" s="1070">
        <v>760</v>
      </c>
      <c r="E343" s="1070">
        <v>730</v>
      </c>
      <c r="F343" s="1088">
        <v>340</v>
      </c>
      <c r="H343" s="1061"/>
    </row>
    <row r="344" spans="1:8" s="1064" customFormat="1" ht="14.25" customHeight="1" thickBot="1">
      <c r="A344" s="1076" t="s">
        <v>915</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SUMPRODUCT((A105:A204=ROUNDDOWN('基准地价（娱乐）'!G3,1))*(B104:M104='基准地价（娱乐）'!G2)*(B105:M204))</f>
        <v>12.384</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95" t="s">
        <v>2076</v>
      </c>
      <c r="B1" s="3495"/>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1093</v>
      </c>
      <c r="B6" s="1844" t="s">
        <v>2085</v>
      </c>
      <c r="C6" s="1845">
        <v>0.1</v>
      </c>
      <c r="D6" s="1845">
        <v>9.0999999999999998E-2</v>
      </c>
      <c r="E6" s="1845">
        <v>9.0999999999999998E-2</v>
      </c>
      <c r="F6" s="1846">
        <v>0.1</v>
      </c>
    </row>
    <row r="7" spans="1:6" ht="14.25" thickBot="1">
      <c r="A7" s="1840" t="s">
        <v>1093</v>
      </c>
      <c r="B7" s="1847" t="s">
        <v>1081</v>
      </c>
      <c r="C7" s="1845">
        <v>8.5999999999999993E-2</v>
      </c>
      <c r="D7" s="1845">
        <v>9.6000000000000002E-2</v>
      </c>
      <c r="E7" s="1845">
        <v>7.5999999999999998E-2</v>
      </c>
      <c r="F7" s="1846">
        <v>0.1</v>
      </c>
    </row>
    <row r="8" spans="1:6" ht="14.25" thickBot="1">
      <c r="A8" s="1840" t="s">
        <v>1093</v>
      </c>
      <c r="B8" s="1844" t="s">
        <v>1094</v>
      </c>
      <c r="C8" s="1845">
        <v>9.9000000000000005E-2</v>
      </c>
      <c r="D8" s="1845">
        <v>9.8000000000000004E-2</v>
      </c>
      <c r="E8" s="1845">
        <v>9.8000000000000004E-2</v>
      </c>
      <c r="F8" s="1846">
        <v>0.1</v>
      </c>
    </row>
    <row r="9" spans="1:6" ht="14.25" thickBot="1">
      <c r="A9" s="1848" t="s">
        <v>1093</v>
      </c>
      <c r="B9" s="1849" t="s">
        <v>1108</v>
      </c>
      <c r="C9" s="1850">
        <v>0.05</v>
      </c>
      <c r="D9" s="1851"/>
      <c r="E9" s="1851"/>
      <c r="F9" s="1852"/>
    </row>
    <row r="10" spans="1:6" ht="14.25" thickBot="1">
      <c r="A10" s="1840" t="s">
        <v>1152</v>
      </c>
      <c r="B10" s="1841" t="s">
        <v>2086</v>
      </c>
      <c r="C10" s="1842">
        <v>8.8999999999999996E-2</v>
      </c>
      <c r="D10" s="1842">
        <v>7.2999999999999995E-2</v>
      </c>
      <c r="E10" s="1842">
        <v>8.2000000000000003E-2</v>
      </c>
      <c r="F10" s="1843">
        <v>0.1</v>
      </c>
    </row>
    <row r="11" spans="1:6" ht="14.25" thickBot="1">
      <c r="A11" s="1840" t="s">
        <v>1152</v>
      </c>
      <c r="B11" s="1847" t="s">
        <v>1068</v>
      </c>
      <c r="C11" s="1845">
        <v>8.8999999999999996E-2</v>
      </c>
      <c r="D11" s="1845">
        <v>7.2999999999999995E-2</v>
      </c>
      <c r="E11" s="1845">
        <v>8.2000000000000003E-2</v>
      </c>
      <c r="F11" s="1846">
        <v>0.1</v>
      </c>
    </row>
    <row r="12" spans="1:6" ht="14.25" thickBot="1">
      <c r="A12" s="1840" t="s">
        <v>1152</v>
      </c>
      <c r="B12" s="1847" t="s">
        <v>1082</v>
      </c>
      <c r="C12" s="1845">
        <v>6.0999999999999999E-2</v>
      </c>
      <c r="D12" s="1845">
        <v>7.0999999999999994E-2</v>
      </c>
      <c r="E12" s="1845">
        <v>9.6000000000000002E-2</v>
      </c>
      <c r="F12" s="1846">
        <v>0.1</v>
      </c>
    </row>
    <row r="13" spans="1:6" ht="14.25" thickBot="1">
      <c r="A13" s="1840" t="s">
        <v>1152</v>
      </c>
      <c r="B13" s="1847" t="s">
        <v>1095</v>
      </c>
      <c r="C13" s="1845">
        <v>6.9000000000000006E-2</v>
      </c>
      <c r="D13" s="1845">
        <v>6.5000000000000002E-2</v>
      </c>
      <c r="E13" s="1845">
        <v>6.6000000000000003E-2</v>
      </c>
      <c r="F13" s="1846">
        <v>0.1</v>
      </c>
    </row>
    <row r="14" spans="1:6" ht="14.25" thickBot="1">
      <c r="A14" s="1840" t="s">
        <v>1152</v>
      </c>
      <c r="B14" s="1847" t="s">
        <v>1109</v>
      </c>
      <c r="C14" s="1845">
        <v>0.1</v>
      </c>
      <c r="D14" s="1845">
        <v>6.5000000000000002E-2</v>
      </c>
      <c r="E14" s="1845">
        <v>7.0000000000000007E-2</v>
      </c>
      <c r="F14" s="1846">
        <v>0.1</v>
      </c>
    </row>
    <row r="15" spans="1:6" ht="14.25" thickBot="1">
      <c r="A15" s="1840" t="s">
        <v>1152</v>
      </c>
      <c r="B15" s="1847" t="s">
        <v>1120</v>
      </c>
      <c r="C15" s="1845">
        <v>9.8000000000000004E-2</v>
      </c>
      <c r="D15" s="1845">
        <v>8.8999999999999996E-2</v>
      </c>
      <c r="E15" s="1845">
        <v>8.8999999999999996E-2</v>
      </c>
      <c r="F15" s="1846">
        <v>0.1</v>
      </c>
    </row>
    <row r="16" spans="1:6" ht="14.25" thickBot="1">
      <c r="A16" s="1840" t="s">
        <v>1152</v>
      </c>
      <c r="B16" s="1847" t="s">
        <v>1131</v>
      </c>
      <c r="C16" s="1845">
        <v>7.0000000000000007E-2</v>
      </c>
      <c r="D16" s="1845">
        <v>9.2999999999999999E-2</v>
      </c>
      <c r="E16" s="1845">
        <v>9.6000000000000002E-2</v>
      </c>
      <c r="F16" s="1846">
        <v>0.1</v>
      </c>
    </row>
    <row r="17" spans="1:6" ht="14.25" thickBot="1">
      <c r="A17" s="1840" t="s">
        <v>1152</v>
      </c>
      <c r="B17" s="1847" t="s">
        <v>1142</v>
      </c>
      <c r="C17" s="1845">
        <v>9.5000000000000001E-2</v>
      </c>
      <c r="D17" s="1845">
        <v>0.1</v>
      </c>
      <c r="E17" s="1845">
        <v>0.1</v>
      </c>
      <c r="F17" s="1853"/>
    </row>
    <row r="18" spans="1:6" ht="14.25" thickBot="1">
      <c r="A18" s="1840" t="s">
        <v>1152</v>
      </c>
      <c r="B18" s="1847" t="s">
        <v>1154</v>
      </c>
      <c r="C18" s="1845">
        <v>7.3999999999999996E-2</v>
      </c>
      <c r="D18" s="1845">
        <v>9.9000000000000005E-2</v>
      </c>
      <c r="E18" s="1845">
        <v>0.1</v>
      </c>
      <c r="F18" s="1853"/>
    </row>
    <row r="19" spans="1:6" ht="14.25" thickBot="1">
      <c r="A19" s="1840" t="s">
        <v>1152</v>
      </c>
      <c r="B19" s="1847" t="s">
        <v>1164</v>
      </c>
      <c r="C19" s="1845">
        <v>9.9000000000000005E-2</v>
      </c>
      <c r="D19" s="1845">
        <v>7.5999999999999998E-2</v>
      </c>
      <c r="E19" s="1845">
        <v>8.6999999999999994E-2</v>
      </c>
      <c r="F19" s="1853"/>
    </row>
    <row r="20" spans="1:6" ht="14.25" thickBot="1">
      <c r="A20" s="1840" t="s">
        <v>1152</v>
      </c>
      <c r="B20" s="1847" t="s">
        <v>1174</v>
      </c>
      <c r="C20" s="1845">
        <v>9.8000000000000004E-2</v>
      </c>
      <c r="D20" s="1845">
        <v>8.5000000000000006E-2</v>
      </c>
      <c r="E20" s="1845">
        <v>8.2000000000000003E-2</v>
      </c>
      <c r="F20" s="1853"/>
    </row>
    <row r="21" spans="1:6" ht="14.25" thickBot="1">
      <c r="A21" s="1840" t="s">
        <v>1152</v>
      </c>
      <c r="B21" s="1847" t="s">
        <v>1184</v>
      </c>
      <c r="C21" s="1845">
        <v>6.6000000000000003E-2</v>
      </c>
      <c r="D21" s="1845">
        <v>6.4000000000000001E-2</v>
      </c>
      <c r="E21" s="1845">
        <v>6.5000000000000002E-2</v>
      </c>
      <c r="F21" s="1853"/>
    </row>
    <row r="22" spans="1:6" ht="14.25" thickBot="1">
      <c r="A22" s="1840" t="s">
        <v>1152</v>
      </c>
      <c r="B22" s="1847" t="s">
        <v>2087</v>
      </c>
      <c r="C22" s="1845">
        <v>0.08</v>
      </c>
      <c r="D22" s="1845">
        <v>9.8000000000000004E-2</v>
      </c>
      <c r="E22" s="1845">
        <v>9.8000000000000004E-2</v>
      </c>
      <c r="F22" s="1853"/>
    </row>
    <row r="23" spans="1:6" ht="14.25" thickBot="1">
      <c r="A23" s="1840" t="s">
        <v>1152</v>
      </c>
      <c r="B23" s="1847" t="s">
        <v>1204</v>
      </c>
      <c r="C23" s="1845">
        <v>9.9000000000000005E-2</v>
      </c>
      <c r="D23" s="1845">
        <v>9.8000000000000004E-2</v>
      </c>
      <c r="E23" s="1845">
        <v>9.0999999999999998E-2</v>
      </c>
      <c r="F23" s="1853"/>
    </row>
    <row r="24" spans="1:6" ht="14.25" thickBot="1">
      <c r="A24" s="1840" t="s">
        <v>1152</v>
      </c>
      <c r="B24" s="1847" t="s">
        <v>1214</v>
      </c>
      <c r="C24" s="1845">
        <v>8.8999999999999996E-2</v>
      </c>
      <c r="D24" s="1845">
        <v>9.7000000000000003E-2</v>
      </c>
      <c r="E24" s="1845">
        <v>7.0000000000000007E-2</v>
      </c>
      <c r="F24" s="1853"/>
    </row>
    <row r="25" spans="1:6" ht="14.25" thickBot="1">
      <c r="A25" s="1840" t="s">
        <v>1152</v>
      </c>
      <c r="B25" s="1847" t="s">
        <v>1224</v>
      </c>
      <c r="C25" s="1845">
        <v>8.8999999999999996E-2</v>
      </c>
      <c r="D25" s="1845">
        <v>0.1</v>
      </c>
      <c r="E25" s="1845">
        <v>8.1000000000000003E-2</v>
      </c>
      <c r="F25" s="1853"/>
    </row>
    <row r="26" spans="1:6" ht="14.25" thickBot="1">
      <c r="A26" s="1840" t="s">
        <v>1152</v>
      </c>
      <c r="B26" s="1847" t="s">
        <v>1234</v>
      </c>
      <c r="C26" s="1854"/>
      <c r="D26" s="1845">
        <v>9.6000000000000002E-2</v>
      </c>
      <c r="E26" s="1845">
        <v>9.2999999999999999E-2</v>
      </c>
      <c r="F26" s="1853"/>
    </row>
    <row r="27" spans="1:6" ht="14.25" thickBot="1">
      <c r="A27" s="1840" t="s">
        <v>1152</v>
      </c>
      <c r="B27" s="1847" t="s">
        <v>1244</v>
      </c>
      <c r="C27" s="1854"/>
      <c r="D27" s="1845">
        <v>7.5999999999999998E-2</v>
      </c>
      <c r="E27" s="1845">
        <v>9.1999999999999998E-2</v>
      </c>
      <c r="F27" s="1853"/>
    </row>
    <row r="28" spans="1:6" ht="14.25" thickBot="1">
      <c r="A28" s="1848" t="s">
        <v>1152</v>
      </c>
      <c r="B28" s="1849" t="s">
        <v>1254</v>
      </c>
      <c r="C28" s="1851"/>
      <c r="D28" s="1850">
        <v>7.5999999999999998E-2</v>
      </c>
      <c r="E28" s="1850">
        <v>9.1999999999999998E-2</v>
      </c>
      <c r="F28" s="1852"/>
    </row>
    <row r="29" spans="1:6" ht="14.25" thickBot="1">
      <c r="A29" s="1840" t="s">
        <v>1323</v>
      </c>
      <c r="B29" s="1841" t="s">
        <v>2088</v>
      </c>
      <c r="C29" s="1842">
        <v>6.4000000000000001E-2</v>
      </c>
      <c r="D29" s="1842">
        <v>6.5000000000000002E-2</v>
      </c>
      <c r="E29" s="1842">
        <v>6.9000000000000006E-2</v>
      </c>
      <c r="F29" s="1843">
        <v>0.1</v>
      </c>
    </row>
    <row r="30" spans="1:6" ht="14.25" thickBot="1">
      <c r="A30" s="1840" t="s">
        <v>1323</v>
      </c>
      <c r="B30" s="1847" t="s">
        <v>1069</v>
      </c>
      <c r="C30" s="1845">
        <v>6.4000000000000001E-2</v>
      </c>
      <c r="D30" s="1845">
        <v>9.9000000000000005E-2</v>
      </c>
      <c r="E30" s="1845">
        <v>0.1</v>
      </c>
      <c r="F30" s="1846">
        <v>0.1</v>
      </c>
    </row>
    <row r="31" spans="1:6" ht="14.25" thickBot="1">
      <c r="A31" s="1840" t="s">
        <v>1323</v>
      </c>
      <c r="B31" s="1847" t="s">
        <v>1083</v>
      </c>
      <c r="C31" s="1845">
        <v>0.1</v>
      </c>
      <c r="D31" s="1845">
        <v>9.5000000000000001E-2</v>
      </c>
      <c r="E31" s="1845">
        <v>8.8999999999999996E-2</v>
      </c>
      <c r="F31" s="1846">
        <v>0.1</v>
      </c>
    </row>
    <row r="32" spans="1:6" ht="14.25" thickBot="1">
      <c r="A32" s="1840" t="s">
        <v>1323</v>
      </c>
      <c r="B32" s="1847" t="s">
        <v>1096</v>
      </c>
      <c r="C32" s="1845">
        <v>0.05</v>
      </c>
      <c r="D32" s="1845">
        <v>0.05</v>
      </c>
      <c r="E32" s="1845">
        <v>8.7999999999999995E-2</v>
      </c>
      <c r="F32" s="1846">
        <v>0.1</v>
      </c>
    </row>
    <row r="33" spans="1:6" ht="14.25" thickBot="1">
      <c r="A33" s="1840" t="s">
        <v>1323</v>
      </c>
      <c r="B33" s="1847" t="s">
        <v>1110</v>
      </c>
      <c r="C33" s="1845">
        <v>7.4999999999999997E-2</v>
      </c>
      <c r="D33" s="1845">
        <v>9.4E-2</v>
      </c>
      <c r="E33" s="1845">
        <v>9.7000000000000003E-2</v>
      </c>
      <c r="F33" s="1846">
        <v>0.1</v>
      </c>
    </row>
    <row r="34" spans="1:6" ht="14.25" thickBot="1">
      <c r="A34" s="1840" t="s">
        <v>1323</v>
      </c>
      <c r="B34" s="1847" t="s">
        <v>1121</v>
      </c>
      <c r="C34" s="1845">
        <v>9.8000000000000004E-2</v>
      </c>
      <c r="D34" s="1845">
        <v>8.5999999999999993E-2</v>
      </c>
      <c r="E34" s="1845">
        <v>9.7000000000000003E-2</v>
      </c>
      <c r="F34" s="1846">
        <v>0.1</v>
      </c>
    </row>
    <row r="35" spans="1:6" ht="14.25" thickBot="1">
      <c r="A35" s="1840" t="s">
        <v>1323</v>
      </c>
      <c r="B35" s="1847" t="s">
        <v>1132</v>
      </c>
      <c r="C35" s="1845">
        <v>5.8999999999999997E-2</v>
      </c>
      <c r="D35" s="1845">
        <v>6.5000000000000002E-2</v>
      </c>
      <c r="E35" s="1845">
        <v>7.0000000000000007E-2</v>
      </c>
      <c r="F35" s="1846">
        <v>0.1</v>
      </c>
    </row>
    <row r="36" spans="1:6" ht="14.25" thickBot="1">
      <c r="A36" s="1840" t="s">
        <v>1323</v>
      </c>
      <c r="B36" s="1847" t="s">
        <v>1143</v>
      </c>
      <c r="C36" s="1845">
        <v>6.3E-2</v>
      </c>
      <c r="D36" s="1845">
        <v>0.1</v>
      </c>
      <c r="E36" s="1845">
        <v>0.1</v>
      </c>
      <c r="F36" s="1846">
        <v>0.1</v>
      </c>
    </row>
    <row r="37" spans="1:6" ht="14.25" thickBot="1">
      <c r="A37" s="1840" t="s">
        <v>1323</v>
      </c>
      <c r="B37" s="1847" t="s">
        <v>1155</v>
      </c>
      <c r="C37" s="1845">
        <v>7.3999999999999996E-2</v>
      </c>
      <c r="D37" s="1845">
        <v>0.1</v>
      </c>
      <c r="E37" s="1845">
        <v>0.1</v>
      </c>
      <c r="F37" s="1846">
        <v>0.1</v>
      </c>
    </row>
    <row r="38" spans="1:6" ht="14.25" thickBot="1">
      <c r="A38" s="1840" t="s">
        <v>1323</v>
      </c>
      <c r="B38" s="1847" t="s">
        <v>1165</v>
      </c>
      <c r="C38" s="1845">
        <v>0.1</v>
      </c>
      <c r="D38" s="1845">
        <v>9.6000000000000002E-2</v>
      </c>
      <c r="E38" s="1845">
        <v>9.6000000000000002E-2</v>
      </c>
      <c r="F38" s="1853"/>
    </row>
    <row r="39" spans="1:6" ht="14.25" thickBot="1">
      <c r="A39" s="1840" t="s">
        <v>1323</v>
      </c>
      <c r="B39" s="1847" t="s">
        <v>1175</v>
      </c>
      <c r="C39" s="1845">
        <v>0.1</v>
      </c>
      <c r="D39" s="1845">
        <v>9.6000000000000002E-2</v>
      </c>
      <c r="E39" s="1845">
        <v>9.6000000000000002E-2</v>
      </c>
      <c r="F39" s="1853"/>
    </row>
    <row r="40" spans="1:6" ht="14.25" thickBot="1">
      <c r="A40" s="1840" t="s">
        <v>1323</v>
      </c>
      <c r="B40" s="1847" t="s">
        <v>1185</v>
      </c>
      <c r="C40" s="1845">
        <v>9.6000000000000002E-2</v>
      </c>
      <c r="D40" s="1845">
        <v>0.1</v>
      </c>
      <c r="E40" s="1845">
        <v>9.9000000000000005E-2</v>
      </c>
      <c r="F40" s="1853"/>
    </row>
    <row r="41" spans="1:6" ht="14.25" thickBot="1">
      <c r="A41" s="1840" t="s">
        <v>1323</v>
      </c>
      <c r="B41" s="1847" t="s">
        <v>1195</v>
      </c>
      <c r="C41" s="1845">
        <v>9.6000000000000002E-2</v>
      </c>
      <c r="D41" s="1845">
        <v>9.8000000000000004E-2</v>
      </c>
      <c r="E41" s="1845">
        <v>9.8000000000000004E-2</v>
      </c>
      <c r="F41" s="1853"/>
    </row>
    <row r="42" spans="1:6" ht="14.25" thickBot="1">
      <c r="A42" s="1840" t="s">
        <v>1323</v>
      </c>
      <c r="B42" s="1847" t="s">
        <v>1205</v>
      </c>
      <c r="C42" s="1845">
        <v>0.1</v>
      </c>
      <c r="D42" s="1845">
        <v>8.7999999999999995E-2</v>
      </c>
      <c r="E42" s="1845">
        <v>0.1</v>
      </c>
      <c r="F42" s="1853"/>
    </row>
    <row r="43" spans="1:6" ht="14.25" thickBot="1">
      <c r="A43" s="1840" t="s">
        <v>1323</v>
      </c>
      <c r="B43" s="1847" t="s">
        <v>1215</v>
      </c>
      <c r="C43" s="1845">
        <v>9.8000000000000004E-2</v>
      </c>
      <c r="D43" s="1845">
        <v>9.7000000000000003E-2</v>
      </c>
      <c r="E43" s="1845">
        <v>9.6000000000000002E-2</v>
      </c>
      <c r="F43" s="1853"/>
    </row>
    <row r="44" spans="1:6" ht="14.25" thickBot="1">
      <c r="A44" s="1840" t="s">
        <v>1323</v>
      </c>
      <c r="B44" s="1847" t="s">
        <v>1225</v>
      </c>
      <c r="C44" s="1845">
        <v>8.5999999999999993E-2</v>
      </c>
      <c r="D44" s="1845">
        <v>7.9000000000000001E-2</v>
      </c>
      <c r="E44" s="1845">
        <v>7.0999999999999994E-2</v>
      </c>
      <c r="F44" s="1853"/>
    </row>
    <row r="45" spans="1:6" ht="14.25" thickBot="1">
      <c r="A45" s="1840" t="s">
        <v>1323</v>
      </c>
      <c r="B45" s="1847" t="s">
        <v>1235</v>
      </c>
      <c r="C45" s="1845">
        <v>9.8000000000000004E-2</v>
      </c>
      <c r="D45" s="1845">
        <v>9.6000000000000002E-2</v>
      </c>
      <c r="E45" s="1845">
        <v>9.6000000000000002E-2</v>
      </c>
      <c r="F45" s="1853"/>
    </row>
    <row r="46" spans="1:6" ht="14.25" thickBot="1">
      <c r="A46" s="1840" t="s">
        <v>1323</v>
      </c>
      <c r="B46" s="1847" t="s">
        <v>1245</v>
      </c>
      <c r="C46" s="1845">
        <v>8.5999999999999993E-2</v>
      </c>
      <c r="D46" s="1845">
        <v>9.8000000000000004E-2</v>
      </c>
      <c r="E46" s="1845">
        <v>8.7999999999999995E-2</v>
      </c>
      <c r="F46" s="1853"/>
    </row>
    <row r="47" spans="1:6" ht="14.25" thickBot="1">
      <c r="A47" s="1840" t="s">
        <v>1323</v>
      </c>
      <c r="B47" s="1847" t="s">
        <v>1255</v>
      </c>
      <c r="C47" s="1845">
        <v>9.6000000000000002E-2</v>
      </c>
      <c r="D47" s="1854"/>
      <c r="E47" s="1845">
        <v>6.9000000000000006E-2</v>
      </c>
      <c r="F47" s="1853"/>
    </row>
    <row r="48" spans="1:6" ht="14.25" thickBot="1">
      <c r="A48" s="1848" t="s">
        <v>1323</v>
      </c>
      <c r="B48" s="1849" t="s">
        <v>1264</v>
      </c>
      <c r="C48" s="1850">
        <v>9.8000000000000004E-2</v>
      </c>
      <c r="D48" s="1851"/>
      <c r="E48" s="1850">
        <v>9.5000000000000001E-2</v>
      </c>
      <c r="F48" s="1852"/>
    </row>
    <row r="49" spans="1:6" ht="14.25" thickBot="1">
      <c r="A49" s="1840" t="s">
        <v>922</v>
      </c>
      <c r="B49" s="1841" t="s">
        <v>2089</v>
      </c>
      <c r="C49" s="1842">
        <v>9.7000000000000003E-2</v>
      </c>
      <c r="D49" s="1842">
        <v>9.5000000000000001E-2</v>
      </c>
      <c r="E49" s="1842">
        <v>9.7000000000000003E-2</v>
      </c>
      <c r="F49" s="1843">
        <v>0.1</v>
      </c>
    </row>
    <row r="50" spans="1:6" ht="14.25" thickBot="1">
      <c r="A50" s="1840" t="s">
        <v>922</v>
      </c>
      <c r="B50" s="1844" t="s">
        <v>1070</v>
      </c>
      <c r="C50" s="1845">
        <v>7.4999999999999997E-2</v>
      </c>
      <c r="D50" s="1845">
        <v>9.5000000000000001E-2</v>
      </c>
      <c r="E50" s="1845">
        <v>0.1</v>
      </c>
      <c r="F50" s="1846">
        <v>0.1</v>
      </c>
    </row>
    <row r="51" spans="1:6" ht="14.25" thickBot="1">
      <c r="A51" s="1840" t="s">
        <v>922</v>
      </c>
      <c r="B51" s="1844" t="s">
        <v>1084</v>
      </c>
      <c r="C51" s="1845">
        <v>9.8000000000000004E-2</v>
      </c>
      <c r="D51" s="1845">
        <v>8.8999999999999996E-2</v>
      </c>
      <c r="E51" s="1845">
        <v>0.1</v>
      </c>
      <c r="F51" s="1846">
        <v>0.1</v>
      </c>
    </row>
    <row r="52" spans="1:6" ht="14.25" thickBot="1">
      <c r="A52" s="1840" t="s">
        <v>922</v>
      </c>
      <c r="B52" s="1844" t="s">
        <v>1097</v>
      </c>
      <c r="C52" s="1845">
        <v>9.8000000000000004E-2</v>
      </c>
      <c r="D52" s="1845">
        <v>9.7000000000000003E-2</v>
      </c>
      <c r="E52" s="1845">
        <v>8.1000000000000003E-2</v>
      </c>
      <c r="F52" s="1846">
        <v>0.1</v>
      </c>
    </row>
    <row r="53" spans="1:6" ht="14.25" thickBot="1">
      <c r="A53" s="1840" t="s">
        <v>922</v>
      </c>
      <c r="B53" s="1844" t="s">
        <v>1111</v>
      </c>
      <c r="C53" s="1845">
        <v>9.7000000000000003E-2</v>
      </c>
      <c r="D53" s="1845">
        <v>7.5999999999999998E-2</v>
      </c>
      <c r="E53" s="1845">
        <v>7.0999999999999994E-2</v>
      </c>
      <c r="F53" s="1846">
        <v>0.1</v>
      </c>
    </row>
    <row r="54" spans="1:6" ht="14.25" thickBot="1">
      <c r="A54" s="1840" t="s">
        <v>922</v>
      </c>
      <c r="B54" s="1844" t="s">
        <v>1122</v>
      </c>
      <c r="C54" s="1845">
        <v>7.5999999999999998E-2</v>
      </c>
      <c r="D54" s="1845">
        <v>0.1</v>
      </c>
      <c r="E54" s="1845">
        <v>9.9000000000000005E-2</v>
      </c>
      <c r="F54" s="1846">
        <v>0.1</v>
      </c>
    </row>
    <row r="55" spans="1:6" ht="14.25" thickBot="1">
      <c r="A55" s="1840" t="s">
        <v>922</v>
      </c>
      <c r="B55" s="1844" t="s">
        <v>1133</v>
      </c>
      <c r="C55" s="1845">
        <v>0.1</v>
      </c>
      <c r="D55" s="1845">
        <v>0.1</v>
      </c>
      <c r="E55" s="1845">
        <v>9.6000000000000002E-2</v>
      </c>
      <c r="F55" s="1846">
        <v>0.1</v>
      </c>
    </row>
    <row r="56" spans="1:6" ht="14.25" thickBot="1">
      <c r="A56" s="1840" t="s">
        <v>922</v>
      </c>
      <c r="B56" s="1844" t="s">
        <v>1144</v>
      </c>
      <c r="C56" s="1845">
        <v>0.1</v>
      </c>
      <c r="D56" s="1845">
        <v>9.6000000000000002E-2</v>
      </c>
      <c r="E56" s="1845">
        <v>5.1999999999999998E-2</v>
      </c>
      <c r="F56" s="1846">
        <v>0.1</v>
      </c>
    </row>
    <row r="57" spans="1:6" ht="14.25" thickBot="1">
      <c r="A57" s="1840" t="s">
        <v>922</v>
      </c>
      <c r="B57" s="1844" t="s">
        <v>1156</v>
      </c>
      <c r="C57" s="1845">
        <v>9.7000000000000003E-2</v>
      </c>
      <c r="D57" s="1845">
        <v>9.6000000000000002E-2</v>
      </c>
      <c r="E57" s="1845">
        <v>9.6000000000000002E-2</v>
      </c>
      <c r="F57" s="1846">
        <v>0.1</v>
      </c>
    </row>
    <row r="58" spans="1:6" ht="14.25" thickBot="1">
      <c r="A58" s="1840" t="s">
        <v>922</v>
      </c>
      <c r="B58" s="1844" t="s">
        <v>1166</v>
      </c>
      <c r="C58" s="1845">
        <v>9.6000000000000002E-2</v>
      </c>
      <c r="D58" s="1845">
        <v>9.9000000000000005E-2</v>
      </c>
      <c r="E58" s="1845">
        <v>9.6000000000000002E-2</v>
      </c>
      <c r="F58" s="1846">
        <v>0.1</v>
      </c>
    </row>
    <row r="59" spans="1:6" ht="14.25" thickBot="1">
      <c r="A59" s="1840" t="s">
        <v>922</v>
      </c>
      <c r="B59" s="1844" t="s">
        <v>1176</v>
      </c>
      <c r="C59" s="1845">
        <v>7.1999999999999995E-2</v>
      </c>
      <c r="D59" s="1845">
        <v>9.6000000000000002E-2</v>
      </c>
      <c r="E59" s="1845">
        <v>7.0999999999999994E-2</v>
      </c>
      <c r="F59" s="1846">
        <v>0.1</v>
      </c>
    </row>
    <row r="60" spans="1:6" ht="14.25" thickBot="1">
      <c r="A60" s="1840" t="s">
        <v>922</v>
      </c>
      <c r="B60" s="1844" t="s">
        <v>1186</v>
      </c>
      <c r="C60" s="1845">
        <v>9.6000000000000002E-2</v>
      </c>
      <c r="D60" s="1845">
        <v>8.8999999999999996E-2</v>
      </c>
      <c r="E60" s="1845">
        <v>9.6000000000000002E-2</v>
      </c>
      <c r="F60" s="1846">
        <v>0.1</v>
      </c>
    </row>
    <row r="61" spans="1:6" ht="14.25" thickBot="1">
      <c r="A61" s="1840" t="s">
        <v>922</v>
      </c>
      <c r="B61" s="1844" t="s">
        <v>1196</v>
      </c>
      <c r="C61" s="1845">
        <v>8.8999999999999996E-2</v>
      </c>
      <c r="D61" s="1845">
        <v>9.8000000000000004E-2</v>
      </c>
      <c r="E61" s="1845">
        <v>8.7999999999999995E-2</v>
      </c>
      <c r="F61" s="1853"/>
    </row>
    <row r="62" spans="1:6" ht="14.25" thickBot="1">
      <c r="A62" s="1840" t="s">
        <v>922</v>
      </c>
      <c r="B62" s="1844" t="s">
        <v>1206</v>
      </c>
      <c r="C62" s="1845">
        <v>9.8000000000000004E-2</v>
      </c>
      <c r="D62" s="1845">
        <v>9.2999999999999999E-2</v>
      </c>
      <c r="E62" s="1845">
        <v>9.7000000000000003E-2</v>
      </c>
      <c r="F62" s="1853"/>
    </row>
    <row r="63" spans="1:6" ht="14.25" thickBot="1">
      <c r="A63" s="1840" t="s">
        <v>922</v>
      </c>
      <c r="B63" s="1844" t="s">
        <v>1216</v>
      </c>
      <c r="C63" s="1845">
        <v>9.6000000000000002E-2</v>
      </c>
      <c r="D63" s="1845">
        <v>9.8000000000000004E-2</v>
      </c>
      <c r="E63" s="1845">
        <v>0.09</v>
      </c>
      <c r="F63" s="1853"/>
    </row>
    <row r="64" spans="1:6" ht="14.25" thickBot="1">
      <c r="A64" s="1840" t="s">
        <v>922</v>
      </c>
      <c r="B64" s="1844" t="s">
        <v>1226</v>
      </c>
      <c r="C64" s="1845">
        <v>9.9000000000000005E-2</v>
      </c>
      <c r="D64" s="1845">
        <v>9.7000000000000003E-2</v>
      </c>
      <c r="E64" s="1845">
        <v>9.9000000000000005E-2</v>
      </c>
      <c r="F64" s="1853"/>
    </row>
    <row r="65" spans="1:6" ht="14.25" thickBot="1">
      <c r="A65" s="1840" t="s">
        <v>922</v>
      </c>
      <c r="B65" s="1844" t="s">
        <v>1236</v>
      </c>
      <c r="C65" s="1845">
        <v>9.8000000000000004E-2</v>
      </c>
      <c r="D65" s="1845">
        <v>9.6000000000000002E-2</v>
      </c>
      <c r="E65" s="1845">
        <v>9.6000000000000002E-2</v>
      </c>
      <c r="F65" s="1853"/>
    </row>
    <row r="66" spans="1:6" ht="14.25" thickBot="1">
      <c r="A66" s="1840" t="s">
        <v>922</v>
      </c>
      <c r="B66" s="1844" t="s">
        <v>1246</v>
      </c>
      <c r="C66" s="1845">
        <v>9.6000000000000002E-2</v>
      </c>
      <c r="D66" s="1845">
        <v>9.1999999999999998E-2</v>
      </c>
      <c r="E66" s="1845">
        <v>9.6000000000000002E-2</v>
      </c>
      <c r="F66" s="1853"/>
    </row>
    <row r="67" spans="1:6" ht="14.25" thickBot="1">
      <c r="A67" s="1840" t="s">
        <v>922</v>
      </c>
      <c r="B67" s="1844" t="s">
        <v>1256</v>
      </c>
      <c r="C67" s="1845">
        <v>9.4E-2</v>
      </c>
      <c r="D67" s="1845">
        <v>0.1</v>
      </c>
      <c r="E67" s="1845">
        <v>8.7999999999999995E-2</v>
      </c>
      <c r="F67" s="1853"/>
    </row>
    <row r="68" spans="1:6" ht="14.25" thickBot="1">
      <c r="A68" s="1840" t="s">
        <v>922</v>
      </c>
      <c r="B68" s="1844" t="s">
        <v>1265</v>
      </c>
      <c r="C68" s="1845">
        <v>0.1</v>
      </c>
      <c r="D68" s="1845">
        <v>8.7999999999999995E-2</v>
      </c>
      <c r="E68" s="1845">
        <v>9.7000000000000003E-2</v>
      </c>
      <c r="F68" s="1853"/>
    </row>
    <row r="69" spans="1:6" ht="14.25" thickBot="1">
      <c r="A69" s="1840" t="s">
        <v>922</v>
      </c>
      <c r="B69" s="1844" t="s">
        <v>1274</v>
      </c>
      <c r="C69" s="1845">
        <v>6.4000000000000001E-2</v>
      </c>
      <c r="D69" s="1845">
        <v>0.1</v>
      </c>
      <c r="E69" s="1845">
        <v>0.1</v>
      </c>
      <c r="F69" s="1853"/>
    </row>
    <row r="70" spans="1:6" ht="14.25" thickBot="1">
      <c r="A70" s="1840" t="s">
        <v>922</v>
      </c>
      <c r="B70" s="1844" t="s">
        <v>1282</v>
      </c>
      <c r="C70" s="1845">
        <v>9.0999999999999998E-2</v>
      </c>
      <c r="D70" s="1854"/>
      <c r="E70" s="1854"/>
      <c r="F70" s="1853"/>
    </row>
    <row r="71" spans="1:6" ht="14.25" thickBot="1">
      <c r="A71" s="1840" t="s">
        <v>922</v>
      </c>
      <c r="B71" s="1844" t="s">
        <v>1289</v>
      </c>
      <c r="C71" s="1845">
        <v>0.1</v>
      </c>
      <c r="D71" s="1854"/>
      <c r="E71" s="1854"/>
      <c r="F71" s="1853"/>
    </row>
    <row r="72" spans="1:6" ht="14.25" thickBot="1">
      <c r="A72" s="1840" t="s">
        <v>922</v>
      </c>
      <c r="B72" s="1844" t="s">
        <v>2090</v>
      </c>
      <c r="C72" s="1854"/>
      <c r="D72" s="1854"/>
      <c r="E72" s="1854"/>
      <c r="F72" s="1846">
        <v>0.05</v>
      </c>
    </row>
    <row r="73" spans="1:6" ht="14.25" thickBot="1">
      <c r="A73" s="1840" t="s">
        <v>922</v>
      </c>
      <c r="B73" s="1844" t="s">
        <v>2091</v>
      </c>
      <c r="C73" s="1854"/>
      <c r="D73" s="1854"/>
      <c r="E73" s="1854"/>
      <c r="F73" s="1846">
        <v>0.05</v>
      </c>
    </row>
    <row r="74" spans="1:6" ht="14.25" thickBot="1">
      <c r="A74" s="1840" t="s">
        <v>922</v>
      </c>
      <c r="B74" s="1844" t="s">
        <v>2092</v>
      </c>
      <c r="C74" s="1854"/>
      <c r="D74" s="1854"/>
      <c r="E74" s="1854"/>
      <c r="F74" s="1846">
        <v>0.05</v>
      </c>
    </row>
    <row r="75" spans="1:6" ht="14.25" thickBot="1">
      <c r="A75" s="1848" t="s">
        <v>922</v>
      </c>
      <c r="B75" s="1855" t="s">
        <v>2093</v>
      </c>
      <c r="C75" s="1851"/>
      <c r="D75" s="1851"/>
      <c r="E75" s="1851"/>
      <c r="F75" s="1856">
        <v>0.05</v>
      </c>
    </row>
    <row r="76" spans="1:6" ht="14.25" thickBot="1">
      <c r="A76" s="1840" t="s">
        <v>1404</v>
      </c>
      <c r="B76" s="1841" t="s">
        <v>2094</v>
      </c>
      <c r="C76" s="1842">
        <v>0.1</v>
      </c>
      <c r="D76" s="1842">
        <v>0.1</v>
      </c>
      <c r="E76" s="1842">
        <v>0.1</v>
      </c>
      <c r="F76" s="1843">
        <v>0.1</v>
      </c>
    </row>
    <row r="77" spans="1:6" ht="14.25" thickBot="1">
      <c r="A77" s="1840" t="s">
        <v>1404</v>
      </c>
      <c r="B77" s="1844" t="s">
        <v>1071</v>
      </c>
      <c r="C77" s="1845">
        <v>8.7999999999999995E-2</v>
      </c>
      <c r="D77" s="1845">
        <v>8.6999999999999994E-2</v>
      </c>
      <c r="E77" s="1845">
        <v>7.9000000000000001E-2</v>
      </c>
      <c r="F77" s="1846">
        <v>0.1</v>
      </c>
    </row>
    <row r="78" spans="1:6" ht="14.25" thickBot="1">
      <c r="A78" s="1840" t="s">
        <v>1404</v>
      </c>
      <c r="B78" s="1844" t="s">
        <v>1085</v>
      </c>
      <c r="C78" s="1845">
        <v>8.6999999999999994E-2</v>
      </c>
      <c r="D78" s="1845">
        <v>8.4000000000000005E-2</v>
      </c>
      <c r="E78" s="1845">
        <v>9.6000000000000002E-2</v>
      </c>
      <c r="F78" s="1846">
        <v>0.1</v>
      </c>
    </row>
    <row r="79" spans="1:6" ht="14.25" thickBot="1">
      <c r="A79" s="1840" t="s">
        <v>1404</v>
      </c>
      <c r="B79" s="1844" t="s">
        <v>1098</v>
      </c>
      <c r="C79" s="1845">
        <v>9.8000000000000004E-2</v>
      </c>
      <c r="D79" s="1845">
        <v>9.8000000000000004E-2</v>
      </c>
      <c r="E79" s="1845">
        <v>9.0999999999999998E-2</v>
      </c>
      <c r="F79" s="1846">
        <v>0.1</v>
      </c>
    </row>
    <row r="80" spans="1:6" ht="14.25" thickBot="1">
      <c r="A80" s="1840" t="s">
        <v>1404</v>
      </c>
      <c r="B80" s="1844" t="s">
        <v>1112</v>
      </c>
      <c r="C80" s="1845">
        <v>9.6000000000000002E-2</v>
      </c>
      <c r="D80" s="1845">
        <v>9.6000000000000002E-2</v>
      </c>
      <c r="E80" s="1845">
        <v>0.1</v>
      </c>
      <c r="F80" s="1846">
        <v>0.1</v>
      </c>
    </row>
    <row r="81" spans="1:6" ht="14.25" thickBot="1">
      <c r="A81" s="1840" t="s">
        <v>1404</v>
      </c>
      <c r="B81" s="1844" t="s">
        <v>1123</v>
      </c>
      <c r="C81" s="1845">
        <v>9.9000000000000005E-2</v>
      </c>
      <c r="D81" s="1845">
        <v>9.9000000000000005E-2</v>
      </c>
      <c r="E81" s="1845">
        <v>9.8000000000000004E-2</v>
      </c>
      <c r="F81" s="1846">
        <v>0.1</v>
      </c>
    </row>
    <row r="82" spans="1:6" ht="14.25" thickBot="1">
      <c r="A82" s="1840" t="s">
        <v>1404</v>
      </c>
      <c r="B82" s="1844" t="s">
        <v>1134</v>
      </c>
      <c r="C82" s="1845">
        <v>9.9000000000000005E-2</v>
      </c>
      <c r="D82" s="1845">
        <v>9.9000000000000005E-2</v>
      </c>
      <c r="E82" s="1845">
        <v>9.7000000000000003E-2</v>
      </c>
      <c r="F82" s="1846">
        <v>0.1</v>
      </c>
    </row>
    <row r="83" spans="1:6" ht="14.25" thickBot="1">
      <c r="A83" s="1840" t="s">
        <v>1404</v>
      </c>
      <c r="B83" s="1844" t="s">
        <v>1145</v>
      </c>
      <c r="C83" s="1845">
        <v>9.8000000000000004E-2</v>
      </c>
      <c r="D83" s="1845">
        <v>9.8000000000000004E-2</v>
      </c>
      <c r="E83" s="1845">
        <v>9.8000000000000004E-2</v>
      </c>
      <c r="F83" s="1846">
        <v>0.1</v>
      </c>
    </row>
    <row r="84" spans="1:6" ht="14.25" thickBot="1">
      <c r="A84" s="1840" t="s">
        <v>1404</v>
      </c>
      <c r="B84" s="1844" t="s">
        <v>1157</v>
      </c>
      <c r="C84" s="1845">
        <v>9.9000000000000005E-2</v>
      </c>
      <c r="D84" s="1845">
        <v>9.9000000000000005E-2</v>
      </c>
      <c r="E84" s="1845">
        <v>9.9000000000000005E-2</v>
      </c>
      <c r="F84" s="1846">
        <v>0.1</v>
      </c>
    </row>
    <row r="85" spans="1:6" ht="14.25" thickBot="1">
      <c r="A85" s="1840" t="s">
        <v>1404</v>
      </c>
      <c r="B85" s="1844" t="s">
        <v>1167</v>
      </c>
      <c r="C85" s="1845">
        <v>9.9000000000000005E-2</v>
      </c>
      <c r="D85" s="1845">
        <v>9.9000000000000005E-2</v>
      </c>
      <c r="E85" s="1845">
        <v>9.9000000000000005E-2</v>
      </c>
      <c r="F85" s="1846">
        <v>0.1</v>
      </c>
    </row>
    <row r="86" spans="1:6" ht="14.25" thickBot="1">
      <c r="A86" s="1840" t="s">
        <v>1404</v>
      </c>
      <c r="B86" s="1844" t="s">
        <v>1177</v>
      </c>
      <c r="C86" s="1845">
        <v>0.1</v>
      </c>
      <c r="D86" s="1845">
        <v>0.1</v>
      </c>
      <c r="E86" s="1845">
        <v>7.6999999999999999E-2</v>
      </c>
      <c r="F86" s="1846">
        <v>0.1</v>
      </c>
    </row>
    <row r="87" spans="1:6" ht="14.25" thickBot="1">
      <c r="A87" s="1840" t="s">
        <v>1404</v>
      </c>
      <c r="B87" s="1844" t="s">
        <v>1187</v>
      </c>
      <c r="C87" s="1845">
        <v>0.1</v>
      </c>
      <c r="D87" s="1845">
        <v>0.1</v>
      </c>
      <c r="E87" s="1845">
        <v>9.8000000000000004E-2</v>
      </c>
      <c r="F87" s="1853"/>
    </row>
    <row r="88" spans="1:6" ht="14.25" thickBot="1">
      <c r="A88" s="1840" t="s">
        <v>1404</v>
      </c>
      <c r="B88" s="1844" t="s">
        <v>1197</v>
      </c>
      <c r="C88" s="1845">
        <v>9.1999999999999998E-2</v>
      </c>
      <c r="D88" s="1845">
        <v>8.5000000000000006E-2</v>
      </c>
      <c r="E88" s="1845">
        <v>9.6000000000000002E-2</v>
      </c>
      <c r="F88" s="1853"/>
    </row>
    <row r="89" spans="1:6" ht="14.25" thickBot="1">
      <c r="A89" s="1840" t="s">
        <v>1404</v>
      </c>
      <c r="B89" s="1844" t="s">
        <v>1207</v>
      </c>
      <c r="C89" s="1845">
        <v>0.1</v>
      </c>
      <c r="D89" s="1845">
        <v>0.1</v>
      </c>
      <c r="E89" s="1845">
        <v>9.7000000000000003E-2</v>
      </c>
      <c r="F89" s="1853"/>
    </row>
    <row r="90" spans="1:6" ht="14.25" thickBot="1">
      <c r="A90" s="1840" t="s">
        <v>1404</v>
      </c>
      <c r="B90" s="1844" t="s">
        <v>1217</v>
      </c>
      <c r="C90" s="1845">
        <v>9.8000000000000004E-2</v>
      </c>
      <c r="D90" s="1845">
        <v>9.8000000000000004E-2</v>
      </c>
      <c r="E90" s="1845">
        <v>8.7999999999999995E-2</v>
      </c>
      <c r="F90" s="1853"/>
    </row>
    <row r="91" spans="1:6" ht="14.25" thickBot="1">
      <c r="A91" s="1840" t="s">
        <v>1404</v>
      </c>
      <c r="B91" s="1844" t="s">
        <v>1227</v>
      </c>
      <c r="C91" s="1845">
        <v>9.9000000000000005E-2</v>
      </c>
      <c r="D91" s="1845">
        <v>9.9000000000000005E-2</v>
      </c>
      <c r="E91" s="1845">
        <v>9.0999999999999998E-2</v>
      </c>
      <c r="F91" s="1853"/>
    </row>
    <row r="92" spans="1:6" ht="14.25" thickBot="1">
      <c r="A92" s="1840" t="s">
        <v>1404</v>
      </c>
      <c r="B92" s="1844" t="s">
        <v>1237</v>
      </c>
      <c r="C92" s="1845">
        <v>9.6000000000000002E-2</v>
      </c>
      <c r="D92" s="1845">
        <v>9.6000000000000002E-2</v>
      </c>
      <c r="E92" s="1845">
        <v>7.2999999999999995E-2</v>
      </c>
      <c r="F92" s="1853"/>
    </row>
    <row r="93" spans="1:6" ht="14.25" thickBot="1">
      <c r="A93" s="1840" t="s">
        <v>1404</v>
      </c>
      <c r="B93" s="1844" t="s">
        <v>1247</v>
      </c>
      <c r="C93" s="1845">
        <v>9.6000000000000002E-2</v>
      </c>
      <c r="D93" s="1845">
        <v>9.6000000000000002E-2</v>
      </c>
      <c r="E93" s="1845">
        <v>9.9000000000000005E-2</v>
      </c>
      <c r="F93" s="1853"/>
    </row>
    <row r="94" spans="1:6" ht="14.25" thickBot="1">
      <c r="A94" s="1840" t="s">
        <v>1404</v>
      </c>
      <c r="B94" s="1844" t="s">
        <v>1257</v>
      </c>
      <c r="C94" s="1845">
        <v>7.5999999999999998E-2</v>
      </c>
      <c r="D94" s="1845">
        <v>7.3999999999999996E-2</v>
      </c>
      <c r="E94" s="1845">
        <v>9.7000000000000003E-2</v>
      </c>
      <c r="F94" s="1853"/>
    </row>
    <row r="95" spans="1:6" ht="14.25" thickBot="1">
      <c r="A95" s="1840" t="s">
        <v>1404</v>
      </c>
      <c r="B95" s="1844" t="s">
        <v>1266</v>
      </c>
      <c r="C95" s="1845">
        <v>9.9000000000000005E-2</v>
      </c>
      <c r="D95" s="1845">
        <v>9.4E-2</v>
      </c>
      <c r="E95" s="1845">
        <v>9.6000000000000002E-2</v>
      </c>
      <c r="F95" s="1853"/>
    </row>
    <row r="96" spans="1:6" ht="14.25" thickBot="1">
      <c r="A96" s="1840" t="s">
        <v>1404</v>
      </c>
      <c r="B96" s="1844" t="s">
        <v>1275</v>
      </c>
      <c r="C96" s="1845">
        <v>9.9000000000000005E-2</v>
      </c>
      <c r="D96" s="1845">
        <v>9.9000000000000005E-2</v>
      </c>
      <c r="E96" s="1845">
        <v>9.9000000000000005E-2</v>
      </c>
      <c r="F96" s="1853"/>
    </row>
    <row r="97" spans="1:6" ht="14.25" thickBot="1">
      <c r="A97" s="1840" t="s">
        <v>1404</v>
      </c>
      <c r="B97" s="1844" t="s">
        <v>1283</v>
      </c>
      <c r="C97" s="1845">
        <v>9.8000000000000004E-2</v>
      </c>
      <c r="D97" s="1845">
        <v>9.8000000000000004E-2</v>
      </c>
      <c r="E97" s="1845">
        <v>9.7000000000000003E-2</v>
      </c>
      <c r="F97" s="1853"/>
    </row>
    <row r="98" spans="1:6" ht="14.25" thickBot="1">
      <c r="A98" s="1840" t="s">
        <v>1404</v>
      </c>
      <c r="B98" s="1844" t="s">
        <v>1290</v>
      </c>
      <c r="C98" s="1845">
        <v>0.1</v>
      </c>
      <c r="D98" s="1845">
        <v>0.1</v>
      </c>
      <c r="E98" s="1845">
        <v>9.7000000000000003E-2</v>
      </c>
      <c r="F98" s="1853"/>
    </row>
    <row r="99" spans="1:6" ht="14.25" thickBot="1">
      <c r="A99" s="1840" t="s">
        <v>1404</v>
      </c>
      <c r="B99" s="1844" t="s">
        <v>1297</v>
      </c>
      <c r="C99" s="1845">
        <v>0.1</v>
      </c>
      <c r="D99" s="1845">
        <v>0.1</v>
      </c>
      <c r="E99" s="1854"/>
      <c r="F99" s="1853"/>
    </row>
    <row r="100" spans="1:6" ht="14.25" thickBot="1">
      <c r="A100" s="1840" t="s">
        <v>1404</v>
      </c>
      <c r="B100" s="1844" t="s">
        <v>1304</v>
      </c>
      <c r="C100" s="1845">
        <v>0.09</v>
      </c>
      <c r="D100" s="1845">
        <v>8.8999999999999996E-2</v>
      </c>
      <c r="E100" s="1854"/>
      <c r="F100" s="1853"/>
    </row>
    <row r="101" spans="1:6" ht="14.25" thickBot="1">
      <c r="A101" s="1840" t="s">
        <v>1404</v>
      </c>
      <c r="B101" s="1844" t="s">
        <v>1311</v>
      </c>
      <c r="C101" s="1845">
        <v>9.8000000000000004E-2</v>
      </c>
      <c r="D101" s="1845">
        <v>9.7000000000000003E-2</v>
      </c>
      <c r="E101" s="1854"/>
      <c r="F101" s="1853"/>
    </row>
    <row r="102" spans="1:6" ht="14.25" thickBot="1">
      <c r="A102" s="1840" t="s">
        <v>1404</v>
      </c>
      <c r="B102" s="1844" t="s">
        <v>2095</v>
      </c>
      <c r="C102" s="1854"/>
      <c r="D102" s="1854"/>
      <c r="E102" s="1854"/>
      <c r="F102" s="1846">
        <v>0.05</v>
      </c>
    </row>
    <row r="103" spans="1:6" ht="24.75" thickBot="1">
      <c r="A103" s="1840" t="s">
        <v>1404</v>
      </c>
      <c r="B103" s="1844" t="s">
        <v>2096</v>
      </c>
      <c r="C103" s="1854"/>
      <c r="D103" s="1854"/>
      <c r="E103" s="1854"/>
      <c r="F103" s="1846">
        <v>0.05</v>
      </c>
    </row>
    <row r="104" spans="1:6" ht="14.25" thickBot="1">
      <c r="A104" s="1840" t="s">
        <v>1404</v>
      </c>
      <c r="B104" s="1844" t="s">
        <v>2097</v>
      </c>
      <c r="C104" s="1854"/>
      <c r="D104" s="1854"/>
      <c r="E104" s="1854"/>
      <c r="F104" s="1846">
        <v>0.05</v>
      </c>
    </row>
    <row r="105" spans="1:6" ht="14.25" thickBot="1">
      <c r="A105" s="1840" t="s">
        <v>1404</v>
      </c>
      <c r="B105" s="1844" t="s">
        <v>2098</v>
      </c>
      <c r="C105" s="1854"/>
      <c r="D105" s="1854"/>
      <c r="E105" s="1854"/>
      <c r="F105" s="1846">
        <v>0.05</v>
      </c>
    </row>
    <row r="106" spans="1:6" ht="14.25" thickBot="1">
      <c r="A106" s="1840" t="s">
        <v>1404</v>
      </c>
      <c r="B106" s="1844" t="s">
        <v>2099</v>
      </c>
      <c r="C106" s="1854"/>
      <c r="D106" s="1854"/>
      <c r="E106" s="1854"/>
      <c r="F106" s="1846">
        <v>0.05</v>
      </c>
    </row>
    <row r="107" spans="1:6" ht="24.75" thickBot="1">
      <c r="A107" s="1840" t="s">
        <v>1404</v>
      </c>
      <c r="B107" s="1844" t="s">
        <v>2100</v>
      </c>
      <c r="C107" s="1854"/>
      <c r="D107" s="1854"/>
      <c r="E107" s="1854"/>
      <c r="F107" s="1846">
        <v>0.05</v>
      </c>
    </row>
    <row r="108" spans="1:6" ht="24.75" thickBot="1">
      <c r="A108" s="1840" t="s">
        <v>1404</v>
      </c>
      <c r="B108" s="1844" t="s">
        <v>2101</v>
      </c>
      <c r="C108" s="1854"/>
      <c r="D108" s="1854"/>
      <c r="E108" s="1854"/>
      <c r="F108" s="1846">
        <v>0.05</v>
      </c>
    </row>
    <row r="109" spans="1:6" ht="24.75" thickBot="1">
      <c r="A109" s="1848" t="s">
        <v>1404</v>
      </c>
      <c r="B109" s="1855" t="s">
        <v>2102</v>
      </c>
      <c r="C109" s="1851"/>
      <c r="D109" s="1851"/>
      <c r="E109" s="1851"/>
      <c r="F109" s="1856">
        <v>0.05</v>
      </c>
    </row>
    <row r="110" spans="1:6" ht="14.25" thickBot="1">
      <c r="A110" s="1840" t="s">
        <v>1406</v>
      </c>
      <c r="B110" s="1841" t="s">
        <v>2103</v>
      </c>
      <c r="C110" s="1842">
        <v>0.129</v>
      </c>
      <c r="D110" s="1842">
        <v>0.129</v>
      </c>
      <c r="E110" s="1842">
        <v>0.126</v>
      </c>
      <c r="F110" s="1843">
        <v>0.13</v>
      </c>
    </row>
    <row r="111" spans="1:6" ht="14.25" thickBot="1">
      <c r="A111" s="1840" t="s">
        <v>1406</v>
      </c>
      <c r="B111" s="1844" t="s">
        <v>1072</v>
      </c>
      <c r="C111" s="1845">
        <v>0.11</v>
      </c>
      <c r="D111" s="1845">
        <v>0.11</v>
      </c>
      <c r="E111" s="1845">
        <v>9.9000000000000005E-2</v>
      </c>
      <c r="F111" s="1846">
        <v>0.128</v>
      </c>
    </row>
    <row r="112" spans="1:6" ht="14.25" thickBot="1">
      <c r="A112" s="1840" t="s">
        <v>1406</v>
      </c>
      <c r="B112" s="1844" t="s">
        <v>1086</v>
      </c>
      <c r="C112" s="1845">
        <v>0.125</v>
      </c>
      <c r="D112" s="1845">
        <v>0.125</v>
      </c>
      <c r="E112" s="1845">
        <v>0.12</v>
      </c>
      <c r="F112" s="1846">
        <v>0.125</v>
      </c>
    </row>
    <row r="113" spans="1:6" ht="14.25" thickBot="1">
      <c r="A113" s="1840" t="s">
        <v>1406</v>
      </c>
      <c r="B113" s="1844" t="s">
        <v>1099</v>
      </c>
      <c r="C113" s="1845">
        <v>0.13</v>
      </c>
      <c r="D113" s="1845">
        <v>0.13</v>
      </c>
      <c r="E113" s="1845">
        <v>0.13</v>
      </c>
      <c r="F113" s="1846">
        <v>0.13</v>
      </c>
    </row>
    <row r="114" spans="1:6" ht="14.25" thickBot="1">
      <c r="A114" s="1840" t="s">
        <v>1406</v>
      </c>
      <c r="B114" s="1844" t="s">
        <v>1113</v>
      </c>
      <c r="C114" s="1845">
        <v>0.123</v>
      </c>
      <c r="D114" s="1845">
        <v>0.123</v>
      </c>
      <c r="E114" s="1845">
        <v>0.12</v>
      </c>
      <c r="F114" s="1846">
        <v>0.13</v>
      </c>
    </row>
    <row r="115" spans="1:6" ht="14.25" thickBot="1">
      <c r="A115" s="1840" t="s">
        <v>1406</v>
      </c>
      <c r="B115" s="1844" t="s">
        <v>1124</v>
      </c>
      <c r="C115" s="1845">
        <v>0.125</v>
      </c>
      <c r="D115" s="1845">
        <v>0.125</v>
      </c>
      <c r="E115" s="1845">
        <v>0.11700000000000001</v>
      </c>
      <c r="F115" s="1846">
        <v>0.13</v>
      </c>
    </row>
    <row r="116" spans="1:6" ht="14.25" thickBot="1">
      <c r="A116" s="1840" t="s">
        <v>1406</v>
      </c>
      <c r="B116" s="1844" t="s">
        <v>1135</v>
      </c>
      <c r="C116" s="1845">
        <v>0.11700000000000001</v>
      </c>
      <c r="D116" s="1845">
        <v>0.11700000000000001</v>
      </c>
      <c r="E116" s="1845">
        <v>8.7999999999999995E-2</v>
      </c>
      <c r="F116" s="1846">
        <v>0.13</v>
      </c>
    </row>
    <row r="117" spans="1:6" ht="14.25" thickBot="1">
      <c r="A117" s="1840" t="s">
        <v>1406</v>
      </c>
      <c r="B117" s="1844" t="s">
        <v>1146</v>
      </c>
      <c r="C117" s="1845">
        <v>0.13</v>
      </c>
      <c r="D117" s="1845">
        <v>0.13</v>
      </c>
      <c r="E117" s="1845">
        <v>0.129</v>
      </c>
      <c r="F117" s="1846">
        <v>0.13</v>
      </c>
    </row>
    <row r="118" spans="1:6" ht="14.25" thickBot="1">
      <c r="A118" s="1840" t="s">
        <v>1406</v>
      </c>
      <c r="B118" s="1844" t="s">
        <v>1158</v>
      </c>
      <c r="C118" s="1845">
        <v>0.123</v>
      </c>
      <c r="D118" s="1845">
        <v>0.123</v>
      </c>
      <c r="E118" s="1845">
        <v>0.11600000000000001</v>
      </c>
      <c r="F118" s="1846">
        <v>0.13</v>
      </c>
    </row>
    <row r="119" spans="1:6" ht="14.25" thickBot="1">
      <c r="A119" s="1840" t="s">
        <v>1406</v>
      </c>
      <c r="B119" s="1844" t="s">
        <v>1168</v>
      </c>
      <c r="C119" s="1845">
        <v>0.127</v>
      </c>
      <c r="D119" s="1845">
        <v>0.127</v>
      </c>
      <c r="E119" s="1845">
        <v>0.124</v>
      </c>
      <c r="F119" s="1846">
        <v>0.13</v>
      </c>
    </row>
    <row r="120" spans="1:6" ht="14.25" thickBot="1">
      <c r="A120" s="1840" t="s">
        <v>1406</v>
      </c>
      <c r="B120" s="1844" t="s">
        <v>1178</v>
      </c>
      <c r="C120" s="1845">
        <v>0.125</v>
      </c>
      <c r="D120" s="1845">
        <v>0.125</v>
      </c>
      <c r="E120" s="1845">
        <v>0.122</v>
      </c>
      <c r="F120" s="1846">
        <v>0.13</v>
      </c>
    </row>
    <row r="121" spans="1:6" ht="14.25" thickBot="1">
      <c r="A121" s="1840" t="s">
        <v>1406</v>
      </c>
      <c r="B121" s="1844" t="s">
        <v>1188</v>
      </c>
      <c r="C121" s="1845">
        <v>0.13</v>
      </c>
      <c r="D121" s="1845">
        <v>0.13</v>
      </c>
      <c r="E121" s="1845">
        <v>0.13</v>
      </c>
      <c r="F121" s="1846">
        <v>0.13</v>
      </c>
    </row>
    <row r="122" spans="1:6" ht="14.25" thickBot="1">
      <c r="A122" s="1840" t="s">
        <v>1406</v>
      </c>
      <c r="B122" s="1844" t="s">
        <v>1198</v>
      </c>
      <c r="C122" s="1845">
        <v>0.13</v>
      </c>
      <c r="D122" s="1845">
        <v>0.13</v>
      </c>
      <c r="E122" s="1845">
        <v>0.125</v>
      </c>
      <c r="F122" s="1846">
        <v>0.13</v>
      </c>
    </row>
    <row r="123" spans="1:6" ht="14.25" thickBot="1">
      <c r="A123" s="1840" t="s">
        <v>1406</v>
      </c>
      <c r="B123" s="1844" t="s">
        <v>1208</v>
      </c>
      <c r="C123" s="1845">
        <v>0.129</v>
      </c>
      <c r="D123" s="1845">
        <v>0.129</v>
      </c>
      <c r="E123" s="1845">
        <v>0.123</v>
      </c>
      <c r="F123" s="1846">
        <v>0.13</v>
      </c>
    </row>
    <row r="124" spans="1:6" ht="14.25" thickBot="1">
      <c r="A124" s="1840" t="s">
        <v>1406</v>
      </c>
      <c r="B124" s="1844" t="s">
        <v>1218</v>
      </c>
      <c r="C124" s="1845">
        <v>0.10199999999999999</v>
      </c>
      <c r="D124" s="1845">
        <v>0.10100000000000001</v>
      </c>
      <c r="E124" s="1845">
        <v>0.08</v>
      </c>
      <c r="F124" s="1853"/>
    </row>
    <row r="125" spans="1:6" ht="14.25" thickBot="1">
      <c r="A125" s="1840" t="s">
        <v>1406</v>
      </c>
      <c r="B125" s="1844" t="s">
        <v>1228</v>
      </c>
      <c r="C125" s="1845">
        <v>0.13</v>
      </c>
      <c r="D125" s="1845">
        <v>0.13</v>
      </c>
      <c r="E125" s="1845">
        <v>0.129</v>
      </c>
      <c r="F125" s="1853"/>
    </row>
    <row r="126" spans="1:6" ht="14.25" thickBot="1">
      <c r="A126" s="1840" t="s">
        <v>1406</v>
      </c>
      <c r="B126" s="1844" t="s">
        <v>1238</v>
      </c>
      <c r="C126" s="1845">
        <v>0.13</v>
      </c>
      <c r="D126" s="1845">
        <v>0.13</v>
      </c>
      <c r="E126" s="1845">
        <v>0.126</v>
      </c>
      <c r="F126" s="1853"/>
    </row>
    <row r="127" spans="1:6" ht="14.25" thickBot="1">
      <c r="A127" s="1840" t="s">
        <v>1406</v>
      </c>
      <c r="B127" s="1844" t="s">
        <v>1248</v>
      </c>
      <c r="C127" s="1845">
        <v>0.125</v>
      </c>
      <c r="D127" s="1845">
        <v>0.125</v>
      </c>
      <c r="E127" s="1845">
        <v>0.121</v>
      </c>
      <c r="F127" s="1853"/>
    </row>
    <row r="128" spans="1:6" ht="14.25" thickBot="1">
      <c r="A128" s="1840" t="s">
        <v>1406</v>
      </c>
      <c r="B128" s="1844" t="s">
        <v>1258</v>
      </c>
      <c r="C128" s="1845">
        <v>0.12</v>
      </c>
      <c r="D128" s="1845">
        <v>0.12</v>
      </c>
      <c r="E128" s="1845">
        <v>0.105</v>
      </c>
      <c r="F128" s="1853"/>
    </row>
    <row r="129" spans="1:6" ht="14.25" thickBot="1">
      <c r="A129" s="1840" t="s">
        <v>1406</v>
      </c>
      <c r="B129" s="1844" t="s">
        <v>1267</v>
      </c>
      <c r="C129" s="1845">
        <v>0.13</v>
      </c>
      <c r="D129" s="1845">
        <v>0.13</v>
      </c>
      <c r="E129" s="1845">
        <v>0.126</v>
      </c>
      <c r="F129" s="1853"/>
    </row>
    <row r="130" spans="1:6" ht="14.25" thickBot="1">
      <c r="A130" s="1840" t="s">
        <v>1406</v>
      </c>
      <c r="B130" s="1844" t="s">
        <v>1276</v>
      </c>
      <c r="C130" s="1845">
        <v>0.125</v>
      </c>
      <c r="D130" s="1845">
        <v>0.125</v>
      </c>
      <c r="E130" s="1845">
        <v>0.122</v>
      </c>
      <c r="F130" s="1853"/>
    </row>
    <row r="131" spans="1:6" ht="14.25" thickBot="1">
      <c r="A131" s="1840" t="s">
        <v>1406</v>
      </c>
      <c r="B131" s="1844" t="s">
        <v>1284</v>
      </c>
      <c r="C131" s="1845">
        <v>0.127</v>
      </c>
      <c r="D131" s="1845">
        <v>0.126</v>
      </c>
      <c r="E131" s="1845">
        <v>0.123</v>
      </c>
      <c r="F131" s="1853"/>
    </row>
    <row r="132" spans="1:6" ht="14.25" thickBot="1">
      <c r="A132" s="1840" t="s">
        <v>1406</v>
      </c>
      <c r="B132" s="1844" t="s">
        <v>1291</v>
      </c>
      <c r="C132" s="1845">
        <v>9.0999999999999998E-2</v>
      </c>
      <c r="D132" s="1845">
        <v>0.121</v>
      </c>
      <c r="E132" s="1845">
        <v>9.9000000000000005E-2</v>
      </c>
      <c r="F132" s="1853"/>
    </row>
    <row r="133" spans="1:6" ht="14.25" thickBot="1">
      <c r="A133" s="1840" t="s">
        <v>1406</v>
      </c>
      <c r="B133" s="1844" t="s">
        <v>1298</v>
      </c>
      <c r="C133" s="1845">
        <v>0.13</v>
      </c>
      <c r="D133" s="1845">
        <v>0.13</v>
      </c>
      <c r="E133" s="1845">
        <v>0.129</v>
      </c>
      <c r="F133" s="1853"/>
    </row>
    <row r="134" spans="1:6" ht="14.25" thickBot="1">
      <c r="A134" s="1840" t="s">
        <v>1406</v>
      </c>
      <c r="B134" s="1844" t="s">
        <v>2104</v>
      </c>
      <c r="C134" s="1845">
        <v>6.8000000000000005E-2</v>
      </c>
      <c r="D134" s="1845">
        <v>6.5000000000000002E-2</v>
      </c>
      <c r="E134" s="1845">
        <v>6.5000000000000002E-2</v>
      </c>
      <c r="F134" s="1846">
        <v>0.13</v>
      </c>
    </row>
    <row r="135" spans="1:6" ht="14.25" thickBot="1">
      <c r="A135" s="1840" t="s">
        <v>1406</v>
      </c>
      <c r="B135" s="1844" t="s">
        <v>1312</v>
      </c>
      <c r="C135" s="1845">
        <v>0.123</v>
      </c>
      <c r="D135" s="1845">
        <v>0.123</v>
      </c>
      <c r="E135" s="1845">
        <v>0.11</v>
      </c>
      <c r="F135" s="1853"/>
    </row>
    <row r="136" spans="1:6" ht="14.25" thickBot="1">
      <c r="A136" s="1840" t="s">
        <v>1406</v>
      </c>
      <c r="B136" s="1844" t="s">
        <v>1319</v>
      </c>
      <c r="C136" s="1845">
        <v>0.13</v>
      </c>
      <c r="D136" s="1845">
        <v>0.13</v>
      </c>
      <c r="E136" s="1845">
        <v>0.125</v>
      </c>
      <c r="F136" s="1853"/>
    </row>
    <row r="137" spans="1:6" ht="14.25" thickBot="1">
      <c r="A137" s="1840" t="s">
        <v>1406</v>
      </c>
      <c r="B137" s="1844" t="s">
        <v>1326</v>
      </c>
      <c r="C137" s="1845">
        <v>0.121</v>
      </c>
      <c r="D137" s="1845">
        <v>0.122</v>
      </c>
      <c r="E137" s="1845">
        <v>0.115</v>
      </c>
      <c r="F137" s="1853"/>
    </row>
    <row r="138" spans="1:6" ht="14.25" thickBot="1">
      <c r="A138" s="1840" t="s">
        <v>1406</v>
      </c>
      <c r="B138" s="1844" t="s">
        <v>2105</v>
      </c>
      <c r="C138" s="1845">
        <v>0.105</v>
      </c>
      <c r="D138" s="1845">
        <v>0.125</v>
      </c>
      <c r="E138" s="1845">
        <v>0.112</v>
      </c>
      <c r="F138" s="1853"/>
    </row>
    <row r="139" spans="1:6" ht="14.25" thickBot="1">
      <c r="A139" s="1840" t="s">
        <v>1406</v>
      </c>
      <c r="B139" s="1844" t="s">
        <v>2106</v>
      </c>
      <c r="C139" s="1845">
        <v>0.127</v>
      </c>
      <c r="D139" s="1845">
        <v>0.127</v>
      </c>
      <c r="E139" s="1845">
        <v>0.122</v>
      </c>
      <c r="F139" s="1846">
        <v>0.13</v>
      </c>
    </row>
    <row r="140" spans="1:6" ht="14.25" thickBot="1">
      <c r="A140" s="1840" t="s">
        <v>1406</v>
      </c>
      <c r="B140" s="1844" t="s">
        <v>2107</v>
      </c>
      <c r="C140" s="1845">
        <v>0.125</v>
      </c>
      <c r="D140" s="1845">
        <v>0.125</v>
      </c>
      <c r="E140" s="1845">
        <v>0.11899999999999999</v>
      </c>
      <c r="F140" s="1846">
        <v>0.13</v>
      </c>
    </row>
    <row r="141" spans="1:6" ht="14.25" thickBot="1">
      <c r="A141" s="1840" t="s">
        <v>1406</v>
      </c>
      <c r="B141" s="1844" t="s">
        <v>1345</v>
      </c>
      <c r="C141" s="1845">
        <v>0.125</v>
      </c>
      <c r="D141" s="1845">
        <v>0.125</v>
      </c>
      <c r="E141" s="1845">
        <v>0.11700000000000001</v>
      </c>
      <c r="F141" s="1853"/>
    </row>
    <row r="142" spans="1:6" ht="14.25" thickBot="1">
      <c r="A142" s="1840" t="s">
        <v>1406</v>
      </c>
      <c r="B142" s="1844" t="s">
        <v>1350</v>
      </c>
      <c r="C142" s="1845">
        <v>0.125</v>
      </c>
      <c r="D142" s="1845">
        <v>0.125</v>
      </c>
      <c r="E142" s="1845">
        <v>0.115</v>
      </c>
      <c r="F142" s="1853"/>
    </row>
    <row r="143" spans="1:6" ht="14.25" thickBot="1">
      <c r="A143" s="1840" t="s">
        <v>1406</v>
      </c>
      <c r="B143" s="1844" t="s">
        <v>1355</v>
      </c>
      <c r="C143" s="1845">
        <v>0.121</v>
      </c>
      <c r="D143" s="1845">
        <v>0.121</v>
      </c>
      <c r="E143" s="1845">
        <v>0.108</v>
      </c>
      <c r="F143" s="1853"/>
    </row>
    <row r="144" spans="1:6" ht="14.25" thickBot="1">
      <c r="A144" s="1840" t="s">
        <v>1406</v>
      </c>
      <c r="B144" s="1857" t="s">
        <v>2108</v>
      </c>
      <c r="C144" s="1858">
        <v>0.126</v>
      </c>
      <c r="D144" s="1858">
        <v>0.126</v>
      </c>
      <c r="E144" s="1858">
        <v>0.121</v>
      </c>
      <c r="F144" s="1853"/>
    </row>
    <row r="145" spans="1:6" ht="14.25" thickBot="1">
      <c r="A145" s="1848" t="s">
        <v>1406</v>
      </c>
      <c r="B145" s="1859" t="s">
        <v>2109</v>
      </c>
      <c r="C145" s="1860"/>
      <c r="D145" s="1860"/>
      <c r="E145" s="1860"/>
      <c r="F145" s="1861">
        <v>0.05</v>
      </c>
    </row>
    <row r="146" spans="1:6" ht="24.75" thickBot="1">
      <c r="A146" s="1862" t="s">
        <v>1406</v>
      </c>
      <c r="B146" s="1847" t="s">
        <v>2110</v>
      </c>
      <c r="C146" s="1854"/>
      <c r="D146" s="1854"/>
      <c r="E146" s="1854"/>
      <c r="F146" s="1863">
        <v>0.05</v>
      </c>
    </row>
    <row r="147" spans="1:6" ht="24.75" thickBot="1">
      <c r="A147" s="1840" t="s">
        <v>1406</v>
      </c>
      <c r="B147" s="1844" t="s">
        <v>2111</v>
      </c>
      <c r="C147" s="1854"/>
      <c r="D147" s="1854"/>
      <c r="E147" s="1854"/>
      <c r="F147" s="1846">
        <v>0.05</v>
      </c>
    </row>
    <row r="148" spans="1:6" ht="24.75" thickBot="1">
      <c r="A148" s="1840" t="s">
        <v>1406</v>
      </c>
      <c r="B148" s="1844" t="s">
        <v>2112</v>
      </c>
      <c r="C148" s="1854"/>
      <c r="D148" s="1854"/>
      <c r="E148" s="1854"/>
      <c r="F148" s="1846">
        <v>0.05</v>
      </c>
    </row>
    <row r="149" spans="1:6" ht="24.75" thickBot="1">
      <c r="A149" s="1840" t="s">
        <v>1406</v>
      </c>
      <c r="B149" s="1844" t="s">
        <v>2113</v>
      </c>
      <c r="C149" s="1854"/>
      <c r="D149" s="1854"/>
      <c r="E149" s="1854"/>
      <c r="F149" s="1846">
        <v>0.05</v>
      </c>
    </row>
    <row r="150" spans="1:6" ht="24.75" thickBot="1">
      <c r="A150" s="1840" t="s">
        <v>1406</v>
      </c>
      <c r="B150" s="1844" t="s">
        <v>2114</v>
      </c>
      <c r="C150" s="1854"/>
      <c r="D150" s="1854"/>
      <c r="E150" s="1854"/>
      <c r="F150" s="1846">
        <v>0.05</v>
      </c>
    </row>
    <row r="151" spans="1:6" ht="24.75" thickBot="1">
      <c r="A151" s="1840" t="s">
        <v>1406</v>
      </c>
      <c r="B151" s="1844" t="s">
        <v>2115</v>
      </c>
      <c r="C151" s="1854"/>
      <c r="D151" s="1854"/>
      <c r="E151" s="1854"/>
      <c r="F151" s="1846">
        <v>0.05</v>
      </c>
    </row>
    <row r="152" spans="1:6" ht="24.75" thickBot="1">
      <c r="A152" s="1840" t="s">
        <v>1406</v>
      </c>
      <c r="B152" s="1844" t="s">
        <v>1388</v>
      </c>
      <c r="C152" s="1854"/>
      <c r="D152" s="1854"/>
      <c r="E152" s="1854"/>
      <c r="F152" s="1846">
        <v>0.05</v>
      </c>
    </row>
    <row r="153" spans="1:6" ht="14.25" thickBot="1">
      <c r="A153" s="1840" t="s">
        <v>1406</v>
      </c>
      <c r="B153" s="1844" t="s">
        <v>2116</v>
      </c>
      <c r="C153" s="1854"/>
      <c r="D153" s="1854"/>
      <c r="E153" s="1854"/>
      <c r="F153" s="1846">
        <v>0.05</v>
      </c>
    </row>
    <row r="154" spans="1:6" ht="14.25" thickBot="1">
      <c r="A154" s="1840" t="s">
        <v>1406</v>
      </c>
      <c r="B154" s="1844" t="s">
        <v>2117</v>
      </c>
      <c r="C154" s="1854"/>
      <c r="D154" s="1854"/>
      <c r="E154" s="1854"/>
      <c r="F154" s="1846">
        <v>0.05</v>
      </c>
    </row>
    <row r="155" spans="1:6" ht="24.75" thickBot="1">
      <c r="A155" s="1840" t="s">
        <v>1406</v>
      </c>
      <c r="B155" s="1844" t="s">
        <v>2118</v>
      </c>
      <c r="C155" s="1854"/>
      <c r="D155" s="1854"/>
      <c r="E155" s="1854"/>
      <c r="F155" s="1846">
        <v>0.05</v>
      </c>
    </row>
    <row r="156" spans="1:6" ht="24.75" thickBot="1">
      <c r="A156" s="1840" t="s">
        <v>1406</v>
      </c>
      <c r="B156" s="1844" t="s">
        <v>2119</v>
      </c>
      <c r="C156" s="1854"/>
      <c r="D156" s="1854"/>
      <c r="E156" s="1854"/>
      <c r="F156" s="1846">
        <v>0.05</v>
      </c>
    </row>
    <row r="157" spans="1:6" ht="14.25" thickBot="1">
      <c r="A157" s="1848" t="s">
        <v>1406</v>
      </c>
      <c r="B157" s="1855" t="s">
        <v>2120</v>
      </c>
      <c r="C157" s="1851"/>
      <c r="D157" s="1851"/>
      <c r="E157" s="1851"/>
      <c r="F157" s="1856">
        <v>0.05</v>
      </c>
    </row>
    <row r="158" spans="1:6" ht="14.25" thickBot="1">
      <c r="A158" s="1840" t="s">
        <v>1408</v>
      </c>
      <c r="B158" s="1841" t="s">
        <v>2121</v>
      </c>
      <c r="C158" s="1842">
        <v>0.13</v>
      </c>
      <c r="D158" s="1842">
        <v>0.13</v>
      </c>
      <c r="E158" s="1842">
        <v>0.13</v>
      </c>
      <c r="F158" s="1843">
        <v>0.13</v>
      </c>
    </row>
    <row r="159" spans="1:6" ht="14.25" thickBot="1">
      <c r="A159" s="1840" t="s">
        <v>1408</v>
      </c>
      <c r="B159" s="1844" t="s">
        <v>1073</v>
      </c>
      <c r="C159" s="1845">
        <v>0.13</v>
      </c>
      <c r="D159" s="1845">
        <v>0.13</v>
      </c>
      <c r="E159" s="1845">
        <v>0.13</v>
      </c>
      <c r="F159" s="1846">
        <v>0.13</v>
      </c>
    </row>
    <row r="160" spans="1:6" ht="14.25" thickBot="1">
      <c r="A160" s="1840" t="s">
        <v>1408</v>
      </c>
      <c r="B160" s="1844" t="s">
        <v>1087</v>
      </c>
      <c r="C160" s="1845">
        <v>0.13</v>
      </c>
      <c r="D160" s="1845">
        <v>0.13</v>
      </c>
      <c r="E160" s="1845">
        <v>0.129</v>
      </c>
      <c r="F160" s="1846">
        <v>0.13</v>
      </c>
    </row>
    <row r="161" spans="1:6" ht="14.25" thickBot="1">
      <c r="A161" s="1840" t="s">
        <v>1408</v>
      </c>
      <c r="B161" s="1844" t="s">
        <v>1100</v>
      </c>
      <c r="C161" s="1845">
        <v>0.128</v>
      </c>
      <c r="D161" s="1845">
        <v>0.128</v>
      </c>
      <c r="E161" s="1845">
        <v>0.125</v>
      </c>
      <c r="F161" s="1846">
        <v>0.13</v>
      </c>
    </row>
    <row r="162" spans="1:6" ht="14.25" thickBot="1">
      <c r="A162" s="1840" t="s">
        <v>1408</v>
      </c>
      <c r="B162" s="1844" t="s">
        <v>1114</v>
      </c>
      <c r="C162" s="1845">
        <v>0.122</v>
      </c>
      <c r="D162" s="1845">
        <v>0.122</v>
      </c>
      <c r="E162" s="1845">
        <v>0.126</v>
      </c>
      <c r="F162" s="1846">
        <v>0.122</v>
      </c>
    </row>
    <row r="163" spans="1:6" ht="14.25" thickBot="1">
      <c r="A163" s="1840" t="s">
        <v>1408</v>
      </c>
      <c r="B163" s="1844" t="s">
        <v>1125</v>
      </c>
      <c r="C163" s="1845">
        <v>0.13</v>
      </c>
      <c r="D163" s="1845">
        <v>0.13</v>
      </c>
      <c r="E163" s="1845">
        <v>0.125</v>
      </c>
      <c r="F163" s="1846">
        <v>0.13</v>
      </c>
    </row>
    <row r="164" spans="1:6" ht="14.25" thickBot="1">
      <c r="A164" s="1840" t="s">
        <v>1408</v>
      </c>
      <c r="B164" s="1844" t="s">
        <v>1136</v>
      </c>
      <c r="C164" s="1845">
        <v>0.13</v>
      </c>
      <c r="D164" s="1845">
        <v>0.13</v>
      </c>
      <c r="E164" s="1845">
        <v>0.13</v>
      </c>
      <c r="F164" s="1846">
        <v>0.13</v>
      </c>
    </row>
    <row r="165" spans="1:6" ht="14.25" thickBot="1">
      <c r="A165" s="1840" t="s">
        <v>1408</v>
      </c>
      <c r="B165" s="1844" t="s">
        <v>1147</v>
      </c>
      <c r="C165" s="1845">
        <v>0.13</v>
      </c>
      <c r="D165" s="1845">
        <v>0.13</v>
      </c>
      <c r="E165" s="1845">
        <v>0.124</v>
      </c>
      <c r="F165" s="1846">
        <v>0.13</v>
      </c>
    </row>
    <row r="166" spans="1:6" ht="14.25" thickBot="1">
      <c r="A166" s="1840" t="s">
        <v>1408</v>
      </c>
      <c r="B166" s="1844" t="s">
        <v>1159</v>
      </c>
      <c r="C166" s="1845">
        <v>0.13</v>
      </c>
      <c r="D166" s="1845">
        <v>0.13</v>
      </c>
      <c r="E166" s="1845">
        <v>0.13</v>
      </c>
      <c r="F166" s="1846">
        <v>0.13</v>
      </c>
    </row>
    <row r="167" spans="1:6" ht="14.25" thickBot="1">
      <c r="A167" s="1840" t="s">
        <v>1408</v>
      </c>
      <c r="B167" s="1844" t="s">
        <v>1169</v>
      </c>
      <c r="C167" s="1845">
        <v>0.125</v>
      </c>
      <c r="D167" s="1845">
        <v>0.125</v>
      </c>
      <c r="E167" s="1845">
        <v>0.121</v>
      </c>
      <c r="F167" s="1853"/>
    </row>
    <row r="168" spans="1:6" ht="14.25" thickBot="1">
      <c r="A168" s="1840" t="s">
        <v>1408</v>
      </c>
      <c r="B168" s="1844" t="s">
        <v>1179</v>
      </c>
      <c r="C168" s="1845">
        <v>0.13</v>
      </c>
      <c r="D168" s="1845">
        <v>0.13</v>
      </c>
      <c r="E168" s="1845">
        <v>0.126</v>
      </c>
      <c r="F168" s="1853"/>
    </row>
    <row r="169" spans="1:6" ht="14.25" thickBot="1">
      <c r="A169" s="1840" t="s">
        <v>1408</v>
      </c>
      <c r="B169" s="1844" t="s">
        <v>1189</v>
      </c>
      <c r="C169" s="1845">
        <v>0.128</v>
      </c>
      <c r="D169" s="1845">
        <v>0.129</v>
      </c>
      <c r="E169" s="1845">
        <v>0.13</v>
      </c>
      <c r="F169" s="1853"/>
    </row>
    <row r="170" spans="1:6" ht="14.25" thickBot="1">
      <c r="A170" s="1840" t="s">
        <v>1408</v>
      </c>
      <c r="B170" s="1844" t="s">
        <v>1199</v>
      </c>
      <c r="C170" s="1845">
        <v>0.14099999999999999</v>
      </c>
      <c r="D170" s="1845">
        <v>0.13</v>
      </c>
      <c r="E170" s="1845">
        <v>0.125</v>
      </c>
      <c r="F170" s="1853"/>
    </row>
    <row r="171" spans="1:6" ht="14.25" thickBot="1">
      <c r="A171" s="1840" t="s">
        <v>1408</v>
      </c>
      <c r="B171" s="1844" t="s">
        <v>2122</v>
      </c>
      <c r="C171" s="1845">
        <v>0.127</v>
      </c>
      <c r="D171" s="1845">
        <v>0.126</v>
      </c>
      <c r="E171" s="1845">
        <v>0.126</v>
      </c>
      <c r="F171" s="1846">
        <v>0.11799999999999999</v>
      </c>
    </row>
    <row r="172" spans="1:6" ht="14.25" thickBot="1">
      <c r="A172" s="1840" t="s">
        <v>1408</v>
      </c>
      <c r="B172" s="1844" t="s">
        <v>2123</v>
      </c>
      <c r="C172" s="1845">
        <v>0.13</v>
      </c>
      <c r="D172" s="1845">
        <v>0.13</v>
      </c>
      <c r="E172" s="1845">
        <v>0.13</v>
      </c>
      <c r="F172" s="1853"/>
    </row>
    <row r="173" spans="1:6" ht="14.25" thickBot="1">
      <c r="A173" s="1840" t="s">
        <v>1408</v>
      </c>
      <c r="B173" s="1844" t="s">
        <v>1229</v>
      </c>
      <c r="C173" s="1845">
        <v>0.13</v>
      </c>
      <c r="D173" s="1845">
        <v>0.13</v>
      </c>
      <c r="E173" s="1845">
        <v>0.13</v>
      </c>
      <c r="F173" s="1853"/>
    </row>
    <row r="174" spans="1:6" ht="14.25" thickBot="1">
      <c r="A174" s="1840" t="s">
        <v>1408</v>
      </c>
      <c r="B174" s="1844" t="s">
        <v>2124</v>
      </c>
      <c r="C174" s="1845">
        <v>0.13</v>
      </c>
      <c r="D174" s="1845">
        <v>0.13</v>
      </c>
      <c r="E174" s="1845">
        <v>0.13</v>
      </c>
      <c r="F174" s="1846">
        <v>0.13</v>
      </c>
    </row>
    <row r="175" spans="1:6" ht="14.25" thickBot="1">
      <c r="A175" s="1840" t="s">
        <v>1408</v>
      </c>
      <c r="B175" s="1844" t="s">
        <v>2125</v>
      </c>
      <c r="C175" s="1845">
        <v>0.13</v>
      </c>
      <c r="D175" s="1845">
        <v>0.13</v>
      </c>
      <c r="E175" s="1845">
        <v>0.13</v>
      </c>
      <c r="F175" s="1846">
        <v>0.13</v>
      </c>
    </row>
    <row r="176" spans="1:6" ht="14.25" thickBot="1">
      <c r="A176" s="1840" t="s">
        <v>1408</v>
      </c>
      <c r="B176" s="1844" t="s">
        <v>1259</v>
      </c>
      <c r="C176" s="1845">
        <v>0.13</v>
      </c>
      <c r="D176" s="1845">
        <v>0.13</v>
      </c>
      <c r="E176" s="1845">
        <v>0.13</v>
      </c>
      <c r="F176" s="1846">
        <v>0.13</v>
      </c>
    </row>
    <row r="177" spans="1:6" ht="14.25" thickBot="1">
      <c r="A177" s="1840" t="s">
        <v>1408</v>
      </c>
      <c r="B177" s="1844" t="s">
        <v>2126</v>
      </c>
      <c r="C177" s="1845">
        <v>0.13</v>
      </c>
      <c r="D177" s="1845">
        <v>0.13</v>
      </c>
      <c r="E177" s="1845">
        <v>0.13</v>
      </c>
      <c r="F177" s="1846">
        <v>0.13</v>
      </c>
    </row>
    <row r="178" spans="1:6" ht="14.25" thickBot="1">
      <c r="A178" s="1840" t="s">
        <v>1408</v>
      </c>
      <c r="B178" s="1844" t="s">
        <v>1277</v>
      </c>
      <c r="C178" s="1845">
        <v>0.13</v>
      </c>
      <c r="D178" s="1845">
        <v>0.13</v>
      </c>
      <c r="E178" s="1845">
        <v>0.13</v>
      </c>
      <c r="F178" s="1846">
        <v>0.127</v>
      </c>
    </row>
    <row r="179" spans="1:6" ht="14.25" thickBot="1">
      <c r="A179" s="1840" t="s">
        <v>1408</v>
      </c>
      <c r="B179" s="1844" t="s">
        <v>1285</v>
      </c>
      <c r="C179" s="1845">
        <v>0.13</v>
      </c>
      <c r="D179" s="1845">
        <v>0.13</v>
      </c>
      <c r="E179" s="1845">
        <v>0.13</v>
      </c>
      <c r="F179" s="1853"/>
    </row>
    <row r="180" spans="1:6" ht="14.25" thickBot="1">
      <c r="A180" s="1840" t="s">
        <v>1408</v>
      </c>
      <c r="B180" s="1844" t="s">
        <v>2127</v>
      </c>
      <c r="C180" s="1845">
        <v>0.13</v>
      </c>
      <c r="D180" s="1845">
        <v>0.13</v>
      </c>
      <c r="E180" s="1845">
        <v>0.125</v>
      </c>
      <c r="F180" s="1846">
        <v>0.13</v>
      </c>
    </row>
    <row r="181" spans="1:6" ht="14.25" thickBot="1">
      <c r="A181" s="1840" t="s">
        <v>1408</v>
      </c>
      <c r="B181" s="1844" t="s">
        <v>1299</v>
      </c>
      <c r="C181" s="1845">
        <v>0.122</v>
      </c>
      <c r="D181" s="1845">
        <v>0.123</v>
      </c>
      <c r="E181" s="1845">
        <v>0.126</v>
      </c>
      <c r="F181" s="1846">
        <v>0.121</v>
      </c>
    </row>
    <row r="182" spans="1:6" ht="14.25" thickBot="1">
      <c r="A182" s="1840" t="s">
        <v>1408</v>
      </c>
      <c r="B182" s="1844" t="s">
        <v>1306</v>
      </c>
      <c r="C182" s="1845">
        <v>0.125</v>
      </c>
      <c r="D182" s="1845">
        <v>0.125</v>
      </c>
      <c r="E182" s="1845">
        <v>0.11700000000000001</v>
      </c>
      <c r="F182" s="1846">
        <v>0.13</v>
      </c>
    </row>
    <row r="183" spans="1:6" ht="14.25" thickBot="1">
      <c r="A183" s="1840" t="s">
        <v>1408</v>
      </c>
      <c r="B183" s="1844" t="s">
        <v>1313</v>
      </c>
      <c r="C183" s="1845">
        <v>0.127</v>
      </c>
      <c r="D183" s="1845">
        <v>0.127</v>
      </c>
      <c r="E183" s="1845">
        <v>0.128</v>
      </c>
      <c r="F183" s="1853"/>
    </row>
    <row r="184" spans="1:6" ht="14.25" thickBot="1">
      <c r="A184" s="1840" t="s">
        <v>1408</v>
      </c>
      <c r="B184" s="1844" t="s">
        <v>1320</v>
      </c>
      <c r="C184" s="1845">
        <v>0.125</v>
      </c>
      <c r="D184" s="1845">
        <v>0.125</v>
      </c>
      <c r="E184" s="1845">
        <v>0.127</v>
      </c>
      <c r="F184" s="1853"/>
    </row>
    <row r="185" spans="1:6" ht="14.25" thickBot="1">
      <c r="A185" s="1840" t="s">
        <v>1408</v>
      </c>
      <c r="B185" s="1844" t="s">
        <v>2128</v>
      </c>
      <c r="C185" s="1845">
        <v>0.127</v>
      </c>
      <c r="D185" s="1845">
        <v>0.127</v>
      </c>
      <c r="E185" s="1845">
        <v>0.128</v>
      </c>
      <c r="F185" s="1846">
        <v>0.13</v>
      </c>
    </row>
    <row r="186" spans="1:6" ht="24.75" thickBot="1">
      <c r="A186" s="1840" t="s">
        <v>1408</v>
      </c>
      <c r="B186" s="1844" t="s">
        <v>2129</v>
      </c>
      <c r="C186" s="1854"/>
      <c r="D186" s="1854"/>
      <c r="E186" s="1854"/>
      <c r="F186" s="1846">
        <v>0.05</v>
      </c>
    </row>
    <row r="187" spans="1:6" ht="14.25" thickBot="1">
      <c r="A187" s="1840" t="s">
        <v>1408</v>
      </c>
      <c r="B187" s="1844" t="s">
        <v>2130</v>
      </c>
      <c r="C187" s="1854"/>
      <c r="D187" s="1854"/>
      <c r="E187" s="1854"/>
      <c r="F187" s="1846">
        <v>0.05</v>
      </c>
    </row>
    <row r="188" spans="1:6" ht="14.25" thickBot="1">
      <c r="A188" s="1840" t="s">
        <v>1408</v>
      </c>
      <c r="B188" s="1844" t="s">
        <v>2131</v>
      </c>
      <c r="C188" s="1854"/>
      <c r="D188" s="1854"/>
      <c r="E188" s="1854"/>
      <c r="F188" s="1846">
        <v>0.05</v>
      </c>
    </row>
    <row r="189" spans="1:6" ht="24.75" thickBot="1">
      <c r="A189" s="1840" t="s">
        <v>1408</v>
      </c>
      <c r="B189" s="1844" t="s">
        <v>2132</v>
      </c>
      <c r="C189" s="1854"/>
      <c r="D189" s="1854"/>
      <c r="E189" s="1854"/>
      <c r="F189" s="1846">
        <v>0.05</v>
      </c>
    </row>
    <row r="190" spans="1:6" ht="24.75" thickBot="1">
      <c r="A190" s="1840" t="s">
        <v>1408</v>
      </c>
      <c r="B190" s="1844" t="s">
        <v>2133</v>
      </c>
      <c r="C190" s="1854"/>
      <c r="D190" s="1854"/>
      <c r="E190" s="1854"/>
      <c r="F190" s="1846">
        <v>0.05</v>
      </c>
    </row>
    <row r="191" spans="1:6" ht="24.75" thickBot="1">
      <c r="A191" s="1840" t="s">
        <v>1408</v>
      </c>
      <c r="B191" s="1844" t="s">
        <v>2134</v>
      </c>
      <c r="C191" s="1854"/>
      <c r="D191" s="1854"/>
      <c r="E191" s="1854"/>
      <c r="F191" s="1846">
        <v>0.05</v>
      </c>
    </row>
    <row r="192" spans="1:6" ht="24.75" thickBot="1">
      <c r="A192" s="1840" t="s">
        <v>1408</v>
      </c>
      <c r="B192" s="1844" t="s">
        <v>2135</v>
      </c>
      <c r="C192" s="1854"/>
      <c r="D192" s="1854"/>
      <c r="E192" s="1854"/>
      <c r="F192" s="1846">
        <v>0.05</v>
      </c>
    </row>
    <row r="193" spans="1:6" ht="24.75" thickBot="1">
      <c r="A193" s="1840" t="s">
        <v>1408</v>
      </c>
      <c r="B193" s="1844" t="s">
        <v>2136</v>
      </c>
      <c r="C193" s="1854"/>
      <c r="D193" s="1854"/>
      <c r="E193" s="1854"/>
      <c r="F193" s="1846">
        <v>0.05</v>
      </c>
    </row>
    <row r="194" spans="1:6" ht="24.75" thickBot="1">
      <c r="A194" s="1840" t="s">
        <v>1408</v>
      </c>
      <c r="B194" s="1844" t="s">
        <v>2137</v>
      </c>
      <c r="C194" s="1854"/>
      <c r="D194" s="1854"/>
      <c r="E194" s="1854"/>
      <c r="F194" s="1846">
        <v>0.05</v>
      </c>
    </row>
    <row r="195" spans="1:6" ht="14.25" thickBot="1">
      <c r="A195" s="1840" t="s">
        <v>1408</v>
      </c>
      <c r="B195" s="1844" t="s">
        <v>2138</v>
      </c>
      <c r="C195" s="1854"/>
      <c r="D195" s="1854"/>
      <c r="E195" s="1854"/>
      <c r="F195" s="1846">
        <v>0.05</v>
      </c>
    </row>
    <row r="196" spans="1:6" ht="24.75" thickBot="1">
      <c r="A196" s="1840" t="s">
        <v>1408</v>
      </c>
      <c r="B196" s="1844" t="s">
        <v>2139</v>
      </c>
      <c r="C196" s="1854"/>
      <c r="D196" s="1854"/>
      <c r="E196" s="1854"/>
      <c r="F196" s="1846">
        <v>0.05</v>
      </c>
    </row>
    <row r="197" spans="1:6" ht="24.75" thickBot="1">
      <c r="A197" s="1840" t="s">
        <v>1408</v>
      </c>
      <c r="B197" s="1844" t="s">
        <v>2140</v>
      </c>
      <c r="C197" s="1854"/>
      <c r="D197" s="1854"/>
      <c r="E197" s="1854"/>
      <c r="F197" s="1846">
        <v>0.05</v>
      </c>
    </row>
    <row r="198" spans="1:6" ht="24.75" thickBot="1">
      <c r="A198" s="1840" t="s">
        <v>1408</v>
      </c>
      <c r="B198" s="1844" t="s">
        <v>2141</v>
      </c>
      <c r="C198" s="1854"/>
      <c r="D198" s="1854"/>
      <c r="E198" s="1854"/>
      <c r="F198" s="1846">
        <v>0.05</v>
      </c>
    </row>
    <row r="199" spans="1:6" ht="24.75" thickBot="1">
      <c r="A199" s="1840" t="s">
        <v>1408</v>
      </c>
      <c r="B199" s="1844" t="s">
        <v>2142</v>
      </c>
      <c r="C199" s="1854"/>
      <c r="D199" s="1854"/>
      <c r="E199" s="1854"/>
      <c r="F199" s="1846">
        <v>0.05</v>
      </c>
    </row>
    <row r="200" spans="1:6" ht="24.75" thickBot="1">
      <c r="A200" s="1840" t="s">
        <v>1408</v>
      </c>
      <c r="B200" s="1844" t="s">
        <v>2143</v>
      </c>
      <c r="C200" s="1854"/>
      <c r="D200" s="1854"/>
      <c r="E200" s="1854"/>
      <c r="F200" s="1846">
        <v>0.05</v>
      </c>
    </row>
    <row r="201" spans="1:6" ht="24.75" thickBot="1">
      <c r="A201" s="1840" t="s">
        <v>1408</v>
      </c>
      <c r="B201" s="1844" t="s">
        <v>2144</v>
      </c>
      <c r="C201" s="1854"/>
      <c r="D201" s="1854"/>
      <c r="E201" s="1854"/>
      <c r="F201" s="1846">
        <v>0.05</v>
      </c>
    </row>
    <row r="202" spans="1:6" ht="24.75" thickBot="1">
      <c r="A202" s="1840" t="s">
        <v>1408</v>
      </c>
      <c r="B202" s="1844" t="s">
        <v>2145</v>
      </c>
      <c r="C202" s="1854"/>
      <c r="D202" s="1854"/>
      <c r="E202" s="1854"/>
      <c r="F202" s="1846">
        <v>0.05</v>
      </c>
    </row>
    <row r="203" spans="1:6" ht="24.75" thickBot="1">
      <c r="A203" s="1840" t="s">
        <v>1408</v>
      </c>
      <c r="B203" s="1844" t="s">
        <v>2146</v>
      </c>
      <c r="C203" s="1854"/>
      <c r="D203" s="1854"/>
      <c r="E203" s="1854"/>
      <c r="F203" s="1846">
        <v>0.05</v>
      </c>
    </row>
    <row r="204" spans="1:6" ht="14.25" thickBot="1">
      <c r="A204" s="1840" t="s">
        <v>1408</v>
      </c>
      <c r="B204" s="1844" t="s">
        <v>2147</v>
      </c>
      <c r="C204" s="1854"/>
      <c r="D204" s="1854"/>
      <c r="E204" s="1854"/>
      <c r="F204" s="1846">
        <v>0.05</v>
      </c>
    </row>
    <row r="205" spans="1:6" ht="14.25" thickBot="1">
      <c r="A205" s="1848" t="s">
        <v>1408</v>
      </c>
      <c r="B205" s="1855" t="s">
        <v>2148</v>
      </c>
      <c r="C205" s="1851"/>
      <c r="D205" s="1851"/>
      <c r="E205" s="1851"/>
      <c r="F205" s="1856">
        <v>0.05</v>
      </c>
    </row>
    <row r="206" spans="1:6" ht="14.25" thickBot="1">
      <c r="A206" s="1840" t="s">
        <v>1410</v>
      </c>
      <c r="B206" s="1841" t="s">
        <v>2149</v>
      </c>
      <c r="C206" s="1842">
        <v>0.15</v>
      </c>
      <c r="D206" s="1842">
        <v>0.15</v>
      </c>
      <c r="E206" s="1842">
        <v>0.15</v>
      </c>
      <c r="F206" s="1843">
        <v>0.15</v>
      </c>
    </row>
    <row r="207" spans="1:6" ht="14.25" thickBot="1">
      <c r="A207" s="1840" t="s">
        <v>1410</v>
      </c>
      <c r="B207" s="1844" t="s">
        <v>1074</v>
      </c>
      <c r="C207" s="1845">
        <v>0.15</v>
      </c>
      <c r="D207" s="1845">
        <v>0.15</v>
      </c>
      <c r="E207" s="1845">
        <v>0.15</v>
      </c>
      <c r="F207" s="1846">
        <v>0.14399999999999999</v>
      </c>
    </row>
    <row r="208" spans="1:6" ht="14.25" thickBot="1">
      <c r="A208" s="1840" t="s">
        <v>1410</v>
      </c>
      <c r="B208" s="1844" t="s">
        <v>1088</v>
      </c>
      <c r="C208" s="1845">
        <v>0.15</v>
      </c>
      <c r="D208" s="1845">
        <v>0.15</v>
      </c>
      <c r="E208" s="1845">
        <v>0.15</v>
      </c>
      <c r="F208" s="1846">
        <v>0.15</v>
      </c>
    </row>
    <row r="209" spans="1:6" ht="14.25" thickBot="1">
      <c r="A209" s="1840" t="s">
        <v>1410</v>
      </c>
      <c r="B209" s="1844" t="s">
        <v>1101</v>
      </c>
      <c r="C209" s="1845">
        <v>0.13700000000000001</v>
      </c>
      <c r="D209" s="1845">
        <v>0.13700000000000001</v>
      </c>
      <c r="E209" s="1845">
        <v>0.14000000000000001</v>
      </c>
      <c r="F209" s="1846">
        <v>0.11700000000000001</v>
      </c>
    </row>
    <row r="210" spans="1:6" ht="14.25" thickBot="1">
      <c r="A210" s="1840" t="s">
        <v>1410</v>
      </c>
      <c r="B210" s="1844" t="s">
        <v>2150</v>
      </c>
      <c r="C210" s="1845">
        <v>0.15</v>
      </c>
      <c r="D210" s="1845">
        <v>0.15</v>
      </c>
      <c r="E210" s="1845">
        <v>0.15</v>
      </c>
      <c r="F210" s="1846">
        <v>0.13800000000000001</v>
      </c>
    </row>
    <row r="211" spans="1:6" ht="14.25" thickBot="1">
      <c r="A211" s="1840" t="s">
        <v>1410</v>
      </c>
      <c r="B211" s="1844" t="s">
        <v>2151</v>
      </c>
      <c r="C211" s="1845">
        <v>0.13700000000000001</v>
      </c>
      <c r="D211" s="1845">
        <v>0.13500000000000001</v>
      </c>
      <c r="E211" s="1845">
        <v>0.13600000000000001</v>
      </c>
      <c r="F211" s="1846">
        <v>0.1</v>
      </c>
    </row>
    <row r="212" spans="1:6" ht="14.25" thickBot="1">
      <c r="A212" s="1840" t="s">
        <v>1410</v>
      </c>
      <c r="B212" s="1844" t="s">
        <v>2152</v>
      </c>
      <c r="C212" s="1845">
        <v>0.15</v>
      </c>
      <c r="D212" s="1845">
        <v>0.15</v>
      </c>
      <c r="E212" s="1845">
        <v>0.14799999999999999</v>
      </c>
      <c r="F212" s="1846">
        <v>0.13600000000000001</v>
      </c>
    </row>
    <row r="213" spans="1:6" ht="14.25" thickBot="1">
      <c r="A213" s="1840" t="s">
        <v>1410</v>
      </c>
      <c r="B213" s="1844" t="s">
        <v>1148</v>
      </c>
      <c r="C213" s="1845">
        <v>0.15</v>
      </c>
      <c r="D213" s="1845">
        <v>0.15</v>
      </c>
      <c r="E213" s="1845">
        <v>0.15</v>
      </c>
      <c r="F213" s="1846">
        <v>0.13800000000000001</v>
      </c>
    </row>
    <row r="214" spans="1:6" ht="14.25" thickBot="1">
      <c r="A214" s="1840" t="s">
        <v>1410</v>
      </c>
      <c r="B214" s="1844" t="s">
        <v>1160</v>
      </c>
      <c r="C214" s="1845">
        <v>9.0999999999999998E-2</v>
      </c>
      <c r="D214" s="1845">
        <v>0.09</v>
      </c>
      <c r="E214" s="1845">
        <v>9.1999999999999998E-2</v>
      </c>
      <c r="F214" s="1853"/>
    </row>
    <row r="215" spans="1:6" ht="14.25" thickBot="1">
      <c r="A215" s="1840" t="s">
        <v>1410</v>
      </c>
      <c r="B215" s="1844" t="s">
        <v>2153</v>
      </c>
      <c r="C215" s="1845">
        <v>0.15</v>
      </c>
      <c r="D215" s="1845">
        <v>0.15</v>
      </c>
      <c r="E215" s="1845">
        <v>0.15</v>
      </c>
      <c r="F215" s="1846">
        <v>0.15</v>
      </c>
    </row>
    <row r="216" spans="1:6" ht="14.25" thickBot="1">
      <c r="A216" s="1840" t="s">
        <v>1410</v>
      </c>
      <c r="B216" s="1844" t="s">
        <v>1180</v>
      </c>
      <c r="C216" s="1845">
        <v>0.14699999999999999</v>
      </c>
      <c r="D216" s="1845">
        <v>0.14699999999999999</v>
      </c>
      <c r="E216" s="1845">
        <v>0.15</v>
      </c>
      <c r="F216" s="1846">
        <v>0.14000000000000001</v>
      </c>
    </row>
    <row r="217" spans="1:6" ht="14.25" thickBot="1">
      <c r="A217" s="1840" t="s">
        <v>1410</v>
      </c>
      <c r="B217" s="1844" t="s">
        <v>1190</v>
      </c>
      <c r="C217" s="1845">
        <v>0.15</v>
      </c>
      <c r="D217" s="1845">
        <v>0.15</v>
      </c>
      <c r="E217" s="1845">
        <v>0.15</v>
      </c>
      <c r="F217" s="1846">
        <v>0.15</v>
      </c>
    </row>
    <row r="218" spans="1:6" ht="14.25" thickBot="1">
      <c r="A218" s="1840" t="s">
        <v>1410</v>
      </c>
      <c r="B218" s="1844" t="s">
        <v>2154</v>
      </c>
      <c r="C218" s="1845">
        <v>0.15</v>
      </c>
      <c r="D218" s="1845">
        <v>0.15</v>
      </c>
      <c r="E218" s="1845">
        <v>0.15</v>
      </c>
      <c r="F218" s="1846">
        <v>0.15</v>
      </c>
    </row>
    <row r="219" spans="1:6" ht="14.25" thickBot="1">
      <c r="A219" s="1840" t="s">
        <v>1410</v>
      </c>
      <c r="B219" s="1844" t="s">
        <v>1210</v>
      </c>
      <c r="C219" s="1845">
        <v>0.15</v>
      </c>
      <c r="D219" s="1845">
        <v>0.15</v>
      </c>
      <c r="E219" s="1845">
        <v>0.15</v>
      </c>
      <c r="F219" s="1846">
        <v>0.14799999999999999</v>
      </c>
    </row>
    <row r="220" spans="1:6" ht="14.25" thickBot="1">
      <c r="A220" s="1840" t="s">
        <v>1410</v>
      </c>
      <c r="B220" s="1844" t="s">
        <v>2155</v>
      </c>
      <c r="C220" s="1845">
        <v>0.15</v>
      </c>
      <c r="D220" s="1845">
        <v>0.15</v>
      </c>
      <c r="E220" s="1845">
        <v>0.15</v>
      </c>
      <c r="F220" s="1846">
        <v>0.15</v>
      </c>
    </row>
    <row r="221" spans="1:6" ht="14.25" thickBot="1">
      <c r="A221" s="1840" t="s">
        <v>1410</v>
      </c>
      <c r="B221" s="1844" t="s">
        <v>1230</v>
      </c>
      <c r="C221" s="1845"/>
      <c r="D221" s="1854"/>
      <c r="E221" s="1854"/>
      <c r="F221" s="1846">
        <v>0.14799999999999999</v>
      </c>
    </row>
    <row r="222" spans="1:6" ht="14.25" thickBot="1">
      <c r="A222" s="1840" t="s">
        <v>1410</v>
      </c>
      <c r="B222" s="1844" t="s">
        <v>1240</v>
      </c>
      <c r="C222" s="1845"/>
      <c r="D222" s="1854"/>
      <c r="E222" s="1854"/>
      <c r="F222" s="1846">
        <v>0.1</v>
      </c>
    </row>
    <row r="223" spans="1:6" ht="14.25" thickBot="1">
      <c r="A223" s="1840" t="s">
        <v>1410</v>
      </c>
      <c r="B223" s="1844" t="s">
        <v>1250</v>
      </c>
      <c r="C223" s="1845"/>
      <c r="D223" s="1854"/>
      <c r="E223" s="1854"/>
      <c r="F223" s="1846">
        <v>0.15</v>
      </c>
    </row>
    <row r="224" spans="1:6" ht="14.25" thickBot="1">
      <c r="A224" s="1840" t="s">
        <v>1410</v>
      </c>
      <c r="B224" s="1844" t="s">
        <v>1260</v>
      </c>
      <c r="C224" s="1845"/>
      <c r="D224" s="1854"/>
      <c r="E224" s="1854"/>
      <c r="F224" s="1846">
        <v>0.15</v>
      </c>
    </row>
    <row r="225" spans="1:6" ht="14.25" thickBot="1">
      <c r="A225" s="1840" t="s">
        <v>1410</v>
      </c>
      <c r="B225" s="1844" t="s">
        <v>2156</v>
      </c>
      <c r="C225" s="1845">
        <v>0.15</v>
      </c>
      <c r="D225" s="1845">
        <v>0.15</v>
      </c>
      <c r="E225" s="1845">
        <v>0.15</v>
      </c>
      <c r="F225" s="1846">
        <v>0.15</v>
      </c>
    </row>
    <row r="226" spans="1:6" ht="14.25" thickBot="1">
      <c r="A226" s="1840" t="s">
        <v>1410</v>
      </c>
      <c r="B226" s="1844" t="s">
        <v>1278</v>
      </c>
      <c r="C226" s="1845">
        <v>0.15</v>
      </c>
      <c r="D226" s="1845">
        <v>0.15</v>
      </c>
      <c r="E226" s="1845">
        <v>0.15</v>
      </c>
      <c r="F226" s="1846">
        <v>0.14799999999999999</v>
      </c>
    </row>
    <row r="227" spans="1:6" ht="14.25" thickBot="1">
      <c r="A227" s="1840" t="s">
        <v>1410</v>
      </c>
      <c r="B227" s="1844" t="s">
        <v>2157</v>
      </c>
      <c r="C227" s="1845">
        <v>0.15</v>
      </c>
      <c r="D227" s="1845">
        <v>0.15</v>
      </c>
      <c r="E227" s="1845">
        <v>0.15</v>
      </c>
      <c r="F227" s="1846">
        <v>0.15</v>
      </c>
    </row>
    <row r="228" spans="1:6" ht="14.25" thickBot="1">
      <c r="A228" s="1840" t="s">
        <v>1410</v>
      </c>
      <c r="B228" s="1844" t="s">
        <v>1293</v>
      </c>
      <c r="C228" s="1845">
        <v>0.15</v>
      </c>
      <c r="D228" s="1845">
        <v>0.15</v>
      </c>
      <c r="E228" s="1845">
        <v>0.15</v>
      </c>
      <c r="F228" s="1846">
        <v>0.15</v>
      </c>
    </row>
    <row r="229" spans="1:6" ht="14.25" thickBot="1">
      <c r="A229" s="1840" t="s">
        <v>1410</v>
      </c>
      <c r="B229" s="1844" t="s">
        <v>1300</v>
      </c>
      <c r="C229" s="1845">
        <v>0.15</v>
      </c>
      <c r="D229" s="1845">
        <v>0.15</v>
      </c>
      <c r="E229" s="1845">
        <v>0.15</v>
      </c>
      <c r="F229" s="1853"/>
    </row>
    <row r="230" spans="1:6" ht="14.25" thickBot="1">
      <c r="A230" s="1840" t="s">
        <v>1410</v>
      </c>
      <c r="B230" s="1844" t="s">
        <v>1307</v>
      </c>
      <c r="C230" s="1845">
        <v>0.14499999999999999</v>
      </c>
      <c r="D230" s="1845">
        <v>0.14499999999999999</v>
      </c>
      <c r="E230" s="1845">
        <v>0.14399999999999999</v>
      </c>
      <c r="F230" s="1853"/>
    </row>
    <row r="231" spans="1:6" ht="14.25" thickBot="1">
      <c r="A231" s="1840" t="s">
        <v>1410</v>
      </c>
      <c r="B231" s="1844" t="s">
        <v>2158</v>
      </c>
      <c r="C231" s="1845">
        <v>0.128</v>
      </c>
      <c r="D231" s="1845">
        <v>0.125</v>
      </c>
      <c r="E231" s="1845">
        <v>0.13200000000000001</v>
      </c>
      <c r="F231" s="1853"/>
    </row>
    <row r="232" spans="1:6" ht="14.25" thickBot="1">
      <c r="A232" s="1840" t="s">
        <v>1410</v>
      </c>
      <c r="B232" s="1844" t="s">
        <v>2159</v>
      </c>
      <c r="C232" s="1845">
        <v>0.14499999999999999</v>
      </c>
      <c r="D232" s="1845">
        <v>0.14399999999999999</v>
      </c>
      <c r="E232" s="1845">
        <v>0.14599999999999999</v>
      </c>
      <c r="F232" s="1846">
        <v>0.13800000000000001</v>
      </c>
    </row>
    <row r="233" spans="1:6" ht="14.25" thickBot="1">
      <c r="A233" s="1840" t="s">
        <v>1410</v>
      </c>
      <c r="B233" s="1844" t="s">
        <v>2160</v>
      </c>
      <c r="C233" s="1845">
        <v>0.14499999999999999</v>
      </c>
      <c r="D233" s="1845">
        <v>0.14299999999999999</v>
      </c>
      <c r="E233" s="1845">
        <v>0.14199999999999999</v>
      </c>
      <c r="F233" s="1853"/>
    </row>
    <row r="234" spans="1:6" ht="14.25" thickBot="1">
      <c r="A234" s="1840" t="s">
        <v>1410</v>
      </c>
      <c r="B234" s="1844" t="s">
        <v>2161</v>
      </c>
      <c r="C234" s="1845">
        <v>0.14000000000000001</v>
      </c>
      <c r="D234" s="1845">
        <v>0.14000000000000001</v>
      </c>
      <c r="E234" s="1845">
        <v>0.14399999999999999</v>
      </c>
      <c r="F234" s="1853"/>
    </row>
    <row r="235" spans="1:6" ht="14.25" thickBot="1">
      <c r="A235" s="1840" t="s">
        <v>1410</v>
      </c>
      <c r="B235" s="1844" t="s">
        <v>2162</v>
      </c>
      <c r="C235" s="1845">
        <v>0.14099999999999999</v>
      </c>
      <c r="D235" s="1845">
        <v>0.14199999999999999</v>
      </c>
      <c r="E235" s="1845">
        <v>0.14499999999999999</v>
      </c>
      <c r="F235" s="1846">
        <v>0.15</v>
      </c>
    </row>
    <row r="236" spans="1:6" ht="14.25" thickBot="1">
      <c r="A236" s="1840" t="s">
        <v>1410</v>
      </c>
      <c r="B236" s="1844" t="s">
        <v>1342</v>
      </c>
      <c r="C236" s="1854"/>
      <c r="D236" s="1854"/>
      <c r="E236" s="1854"/>
      <c r="F236" s="1846">
        <v>0.14299999999999999</v>
      </c>
    </row>
    <row r="237" spans="1:6" ht="24.75" thickBot="1">
      <c r="A237" s="1840" t="s">
        <v>1410</v>
      </c>
      <c r="B237" s="1844" t="s">
        <v>2163</v>
      </c>
      <c r="C237" s="1854"/>
      <c r="D237" s="1854"/>
      <c r="E237" s="1854"/>
      <c r="F237" s="1846">
        <v>0.05</v>
      </c>
    </row>
    <row r="238" spans="1:6" ht="24.75" thickBot="1">
      <c r="A238" s="1840" t="s">
        <v>1410</v>
      </c>
      <c r="B238" s="1844" t="s">
        <v>2164</v>
      </c>
      <c r="C238" s="1854"/>
      <c r="D238" s="1854"/>
      <c r="E238" s="1854"/>
      <c r="F238" s="1846">
        <v>0.05</v>
      </c>
    </row>
    <row r="239" spans="1:6" ht="24.75" thickBot="1">
      <c r="A239" s="1840" t="s">
        <v>1410</v>
      </c>
      <c r="B239" s="1844" t="s">
        <v>2165</v>
      </c>
      <c r="C239" s="1854"/>
      <c r="D239" s="1854"/>
      <c r="E239" s="1854"/>
      <c r="F239" s="1846">
        <v>0.05</v>
      </c>
    </row>
    <row r="240" spans="1:6" ht="24.75" thickBot="1">
      <c r="A240" s="1840" t="s">
        <v>1410</v>
      </c>
      <c r="B240" s="1844" t="s">
        <v>2166</v>
      </c>
      <c r="C240" s="1854"/>
      <c r="D240" s="1854"/>
      <c r="E240" s="1854"/>
      <c r="F240" s="1846">
        <v>0.05</v>
      </c>
    </row>
    <row r="241" spans="1:6" ht="24.75" thickBot="1">
      <c r="A241" s="1840" t="s">
        <v>1410</v>
      </c>
      <c r="B241" s="1844" t="s">
        <v>2167</v>
      </c>
      <c r="C241" s="1854"/>
      <c r="D241" s="1854"/>
      <c r="E241" s="1854"/>
      <c r="F241" s="1846">
        <v>0.05</v>
      </c>
    </row>
    <row r="242" spans="1:6" ht="24.75" thickBot="1">
      <c r="A242" s="1840" t="s">
        <v>1410</v>
      </c>
      <c r="B242" s="1844" t="s">
        <v>2168</v>
      </c>
      <c r="C242" s="1854"/>
      <c r="D242" s="1854"/>
      <c r="E242" s="1854"/>
      <c r="F242" s="1846">
        <v>0.05</v>
      </c>
    </row>
    <row r="243" spans="1:6" ht="24.75" thickBot="1">
      <c r="A243" s="1840" t="s">
        <v>1410</v>
      </c>
      <c r="B243" s="1844" t="s">
        <v>2169</v>
      </c>
      <c r="C243" s="1854"/>
      <c r="D243" s="1854"/>
      <c r="E243" s="1854"/>
      <c r="F243" s="1846">
        <v>0.05</v>
      </c>
    </row>
    <row r="244" spans="1:6" ht="24.75" thickBot="1">
      <c r="A244" s="1848" t="s">
        <v>1410</v>
      </c>
      <c r="B244" s="1855" t="s">
        <v>2170</v>
      </c>
      <c r="C244" s="1851"/>
      <c r="D244" s="1851"/>
      <c r="E244" s="1851"/>
      <c r="F244" s="1856">
        <v>0.05</v>
      </c>
    </row>
    <row r="245" spans="1:6" ht="14.25" thickBot="1">
      <c r="A245" s="1840" t="s">
        <v>1412</v>
      </c>
      <c r="B245" s="1841" t="s">
        <v>2171</v>
      </c>
      <c r="C245" s="1842">
        <v>0.15</v>
      </c>
      <c r="D245" s="1842">
        <v>0.15</v>
      </c>
      <c r="E245" s="1842">
        <v>0.15</v>
      </c>
      <c r="F245" s="1843">
        <v>0.14299999999999999</v>
      </c>
    </row>
    <row r="246" spans="1:6" ht="14.25" thickBot="1">
      <c r="A246" s="1840" t="s">
        <v>1412</v>
      </c>
      <c r="B246" s="1844" t="s">
        <v>1075</v>
      </c>
      <c r="C246" s="1845">
        <v>0.15</v>
      </c>
      <c r="D246" s="1845">
        <v>0.15</v>
      </c>
      <c r="E246" s="1845">
        <v>0.15</v>
      </c>
      <c r="F246" s="1846">
        <v>0.114</v>
      </c>
    </row>
    <row r="247" spans="1:6" ht="14.25" thickBot="1">
      <c r="A247" s="1840" t="s">
        <v>1412</v>
      </c>
      <c r="B247" s="1844" t="s">
        <v>2172</v>
      </c>
      <c r="C247" s="1845">
        <v>0.15</v>
      </c>
      <c r="D247" s="1845">
        <v>0.15</v>
      </c>
      <c r="E247" s="1845">
        <v>0.15</v>
      </c>
      <c r="F247" s="1846">
        <v>0.15</v>
      </c>
    </row>
    <row r="248" spans="1:6" ht="14.25" thickBot="1">
      <c r="A248" s="1840" t="s">
        <v>1412</v>
      </c>
      <c r="B248" s="1844" t="s">
        <v>2173</v>
      </c>
      <c r="C248" s="1845">
        <v>0.15</v>
      </c>
      <c r="D248" s="1845">
        <v>0.15</v>
      </c>
      <c r="E248" s="1845">
        <v>0.15</v>
      </c>
      <c r="F248" s="1846">
        <v>0.14000000000000001</v>
      </c>
    </row>
    <row r="249" spans="1:6" ht="14.25" thickBot="1">
      <c r="A249" s="1840" t="s">
        <v>1412</v>
      </c>
      <c r="B249" s="1844" t="s">
        <v>2174</v>
      </c>
      <c r="C249" s="1845">
        <v>0.15</v>
      </c>
      <c r="D249" s="1845">
        <v>0.14899999999999999</v>
      </c>
      <c r="E249" s="1845">
        <v>0.15</v>
      </c>
      <c r="F249" s="1846">
        <v>0.1</v>
      </c>
    </row>
    <row r="250" spans="1:6" ht="14.25" thickBot="1">
      <c r="A250" s="1840" t="s">
        <v>1412</v>
      </c>
      <c r="B250" s="1844" t="s">
        <v>2175</v>
      </c>
      <c r="C250" s="1845">
        <v>0.15</v>
      </c>
      <c r="D250" s="1845">
        <v>0.15</v>
      </c>
      <c r="E250" s="1845">
        <v>0.15</v>
      </c>
      <c r="F250" s="1846">
        <v>0.14399999999999999</v>
      </c>
    </row>
    <row r="251" spans="1:6" ht="14.25" thickBot="1">
      <c r="A251" s="1840" t="s">
        <v>1412</v>
      </c>
      <c r="B251" s="1844" t="s">
        <v>1138</v>
      </c>
      <c r="C251" s="1845">
        <v>0.15</v>
      </c>
      <c r="D251" s="1845">
        <v>0.15</v>
      </c>
      <c r="E251" s="1845">
        <v>0.15</v>
      </c>
      <c r="F251" s="1846">
        <v>0.14299999999999999</v>
      </c>
    </row>
    <row r="252" spans="1:6" ht="14.25" thickBot="1">
      <c r="A252" s="1840" t="s">
        <v>1412</v>
      </c>
      <c r="B252" s="1844" t="s">
        <v>1149</v>
      </c>
      <c r="C252" s="1845">
        <v>0.15</v>
      </c>
      <c r="D252" s="1845">
        <v>0.15</v>
      </c>
      <c r="E252" s="1845">
        <v>0.15</v>
      </c>
      <c r="F252" s="1846">
        <v>0.1</v>
      </c>
    </row>
    <row r="253" spans="1:6" ht="14.25" thickBot="1">
      <c r="A253" s="1840" t="s">
        <v>1412</v>
      </c>
      <c r="B253" s="1844" t="s">
        <v>1161</v>
      </c>
      <c r="C253" s="1845">
        <v>0.15</v>
      </c>
      <c r="D253" s="1845">
        <v>0.15</v>
      </c>
      <c r="E253" s="1845">
        <v>0.15</v>
      </c>
      <c r="F253" s="1846">
        <v>0.1</v>
      </c>
    </row>
    <row r="254" spans="1:6" ht="14.25" thickBot="1">
      <c r="A254" s="1840" t="s">
        <v>1412</v>
      </c>
      <c r="B254" s="1844" t="s">
        <v>1171</v>
      </c>
      <c r="C254" s="1854"/>
      <c r="D254" s="1854"/>
      <c r="E254" s="1854"/>
      <c r="F254" s="1846">
        <v>0.15</v>
      </c>
    </row>
    <row r="255" spans="1:6" ht="14.25" thickBot="1">
      <c r="A255" s="1840" t="s">
        <v>1412</v>
      </c>
      <c r="B255" s="1844" t="s">
        <v>1181</v>
      </c>
      <c r="C255" s="1854"/>
      <c r="D255" s="1854"/>
      <c r="E255" s="1854"/>
      <c r="F255" s="1846">
        <v>0.14299999999999999</v>
      </c>
    </row>
    <row r="256" spans="1:6" ht="14.25" thickBot="1">
      <c r="A256" s="1840" t="s">
        <v>1412</v>
      </c>
      <c r="B256" s="1844" t="s">
        <v>2176</v>
      </c>
      <c r="C256" s="1845">
        <v>0.14599999999999999</v>
      </c>
      <c r="D256" s="1845">
        <v>0.14699999999999999</v>
      </c>
      <c r="E256" s="1845">
        <v>0.15</v>
      </c>
      <c r="F256" s="1846">
        <v>0.13200000000000001</v>
      </c>
    </row>
    <row r="257" spans="1:6" ht="14.25" thickBot="1">
      <c r="A257" s="1840" t="s">
        <v>1412</v>
      </c>
      <c r="B257" s="1844" t="s">
        <v>1201</v>
      </c>
      <c r="C257" s="1845">
        <v>0.15</v>
      </c>
      <c r="D257" s="1845">
        <v>0.15</v>
      </c>
      <c r="E257" s="1845">
        <v>0.15</v>
      </c>
      <c r="F257" s="1846">
        <v>0.13900000000000001</v>
      </c>
    </row>
    <row r="258" spans="1:6" ht="14.25" thickBot="1">
      <c r="A258" s="1840" t="s">
        <v>1412</v>
      </c>
      <c r="B258" s="1844" t="s">
        <v>1211</v>
      </c>
      <c r="C258" s="1845">
        <v>0.15</v>
      </c>
      <c r="D258" s="1845">
        <v>0.15</v>
      </c>
      <c r="E258" s="1845">
        <v>0.15</v>
      </c>
      <c r="F258" s="1846">
        <v>0.13</v>
      </c>
    </row>
    <row r="259" spans="1:6" ht="14.25" thickBot="1">
      <c r="A259" s="1840" t="s">
        <v>1412</v>
      </c>
      <c r="B259" s="1844" t="s">
        <v>2177</v>
      </c>
      <c r="C259" s="1845">
        <v>0.14799999999999999</v>
      </c>
      <c r="D259" s="1845">
        <v>0.14899999999999999</v>
      </c>
      <c r="E259" s="1845">
        <v>0.15</v>
      </c>
      <c r="F259" s="1846">
        <v>0.13700000000000001</v>
      </c>
    </row>
    <row r="260" spans="1:6" ht="14.25" thickBot="1">
      <c r="A260" s="1840" t="s">
        <v>1412</v>
      </c>
      <c r="B260" s="1844" t="s">
        <v>1231</v>
      </c>
      <c r="C260" s="1845">
        <v>0.15</v>
      </c>
      <c r="D260" s="1845">
        <v>0.15</v>
      </c>
      <c r="E260" s="1845">
        <v>0.15</v>
      </c>
      <c r="F260" s="1846">
        <v>0.14199999999999999</v>
      </c>
    </row>
    <row r="261" spans="1:6" ht="14.25" thickBot="1">
      <c r="A261" s="1840" t="s">
        <v>1412</v>
      </c>
      <c r="B261" s="1844" t="s">
        <v>1241</v>
      </c>
      <c r="C261" s="1845">
        <v>0.15</v>
      </c>
      <c r="D261" s="1845">
        <v>0.15</v>
      </c>
      <c r="E261" s="1845">
        <v>0.14899999999999999</v>
      </c>
      <c r="F261" s="1846">
        <v>0.14799999999999999</v>
      </c>
    </row>
    <row r="262" spans="1:6" ht="14.25" thickBot="1">
      <c r="A262" s="1840" t="s">
        <v>1412</v>
      </c>
      <c r="B262" s="1844" t="s">
        <v>1251</v>
      </c>
      <c r="C262" s="1845">
        <v>0.15</v>
      </c>
      <c r="D262" s="1845">
        <v>0.15</v>
      </c>
      <c r="E262" s="1845">
        <v>0.15</v>
      </c>
      <c r="F262" s="1853"/>
    </row>
    <row r="263" spans="1:6" ht="14.25" thickBot="1">
      <c r="A263" s="1840" t="s">
        <v>1412</v>
      </c>
      <c r="B263" s="1844" t="s">
        <v>2178</v>
      </c>
      <c r="C263" s="1845">
        <v>0.14899999999999999</v>
      </c>
      <c r="D263" s="1845">
        <v>0.14899999999999999</v>
      </c>
      <c r="E263" s="1845">
        <v>0.15</v>
      </c>
      <c r="F263" s="1846">
        <v>0.13</v>
      </c>
    </row>
    <row r="264" spans="1:6" ht="14.25" thickBot="1">
      <c r="A264" s="1840" t="s">
        <v>1412</v>
      </c>
      <c r="B264" s="1844" t="s">
        <v>1270</v>
      </c>
      <c r="C264" s="1845">
        <v>0.14799999999999999</v>
      </c>
      <c r="D264" s="1845">
        <v>0.14699999999999999</v>
      </c>
      <c r="E264" s="1845">
        <v>0.15</v>
      </c>
      <c r="F264" s="1846">
        <v>7.8E-2</v>
      </c>
    </row>
    <row r="265" spans="1:6" ht="14.25" thickBot="1">
      <c r="A265" s="1840" t="s">
        <v>1412</v>
      </c>
      <c r="B265" s="1844" t="s">
        <v>1279</v>
      </c>
      <c r="C265" s="1845">
        <v>0.15</v>
      </c>
      <c r="D265" s="1845">
        <v>0.15</v>
      </c>
      <c r="E265" s="1845">
        <v>0.15</v>
      </c>
      <c r="F265" s="1846">
        <v>7.3999999999999996E-2</v>
      </c>
    </row>
    <row r="266" spans="1:6" ht="14.25" thickBot="1">
      <c r="A266" s="1840" t="s">
        <v>1412</v>
      </c>
      <c r="B266" s="1844" t="s">
        <v>1287</v>
      </c>
      <c r="C266" s="1845">
        <v>0.14699999999999999</v>
      </c>
      <c r="D266" s="1845">
        <v>0.14699999999999999</v>
      </c>
      <c r="E266" s="1845">
        <v>0.15</v>
      </c>
      <c r="F266" s="1846">
        <v>0.14299999999999999</v>
      </c>
    </row>
    <row r="267" spans="1:6" ht="14.25" thickBot="1">
      <c r="A267" s="1840" t="s">
        <v>1412</v>
      </c>
      <c r="B267" s="1844" t="s">
        <v>1294</v>
      </c>
      <c r="C267" s="1845">
        <v>0.14199999999999999</v>
      </c>
      <c r="D267" s="1845">
        <v>0.14299999999999999</v>
      </c>
      <c r="E267" s="1845">
        <v>0.15</v>
      </c>
      <c r="F267" s="1853"/>
    </row>
    <row r="268" spans="1:6" ht="14.25" thickBot="1">
      <c r="A268" s="1840" t="s">
        <v>1412</v>
      </c>
      <c r="B268" s="1844" t="s">
        <v>2179</v>
      </c>
      <c r="C268" s="1845">
        <v>0.15</v>
      </c>
      <c r="D268" s="1845">
        <v>0.15</v>
      </c>
      <c r="E268" s="1845">
        <v>0.15</v>
      </c>
      <c r="F268" s="1846">
        <v>0.13</v>
      </c>
    </row>
    <row r="269" spans="1:6" ht="14.25" thickBot="1">
      <c r="A269" s="1840" t="s">
        <v>1412</v>
      </c>
      <c r="B269" s="1844" t="s">
        <v>1308</v>
      </c>
      <c r="C269" s="1845">
        <v>0.15</v>
      </c>
      <c r="D269" s="1845">
        <v>0.15</v>
      </c>
      <c r="E269" s="1845">
        <v>0.15</v>
      </c>
      <c r="F269" s="1846">
        <v>0.14299999999999999</v>
      </c>
    </row>
    <row r="270" spans="1:6" ht="14.25" thickBot="1">
      <c r="A270" s="1840" t="s">
        <v>1412</v>
      </c>
      <c r="B270" s="1844" t="s">
        <v>1315</v>
      </c>
      <c r="C270" s="1845">
        <v>0.14499999999999999</v>
      </c>
      <c r="D270" s="1845">
        <v>0.14499999999999999</v>
      </c>
      <c r="E270" s="1845">
        <v>0.15</v>
      </c>
      <c r="F270" s="1846">
        <v>0.14699999999999999</v>
      </c>
    </row>
    <row r="271" spans="1:6" ht="14.25" thickBot="1">
      <c r="A271" s="1840" t="s">
        <v>1412</v>
      </c>
      <c r="B271" s="1844" t="s">
        <v>1322</v>
      </c>
      <c r="C271" s="1845">
        <v>0.15</v>
      </c>
      <c r="D271" s="1845">
        <v>0.15</v>
      </c>
      <c r="E271" s="1845">
        <v>0.15</v>
      </c>
      <c r="F271" s="1846">
        <v>0.13800000000000001</v>
      </c>
    </row>
    <row r="272" spans="1:6" ht="14.25" thickBot="1">
      <c r="A272" s="1840" t="s">
        <v>1412</v>
      </c>
      <c r="B272" s="1844" t="s">
        <v>1329</v>
      </c>
      <c r="C272" s="1854"/>
      <c r="D272" s="1854"/>
      <c r="E272" s="1854"/>
      <c r="F272" s="1846">
        <v>0.14000000000000001</v>
      </c>
    </row>
    <row r="273" spans="1:6" ht="14.25" thickBot="1">
      <c r="A273" s="1840" t="s">
        <v>1412</v>
      </c>
      <c r="B273" s="1844" t="s">
        <v>2180</v>
      </c>
      <c r="C273" s="1845">
        <v>0.14199999999999999</v>
      </c>
      <c r="D273" s="1845">
        <v>0.14299999999999999</v>
      </c>
      <c r="E273" s="1845">
        <v>0.15</v>
      </c>
      <c r="F273" s="1846">
        <v>0.1</v>
      </c>
    </row>
    <row r="274" spans="1:6" ht="14.25" thickBot="1">
      <c r="A274" s="1840" t="s">
        <v>1412</v>
      </c>
      <c r="B274" s="1844" t="s">
        <v>2181</v>
      </c>
      <c r="C274" s="1845">
        <v>0.14799999999999999</v>
      </c>
      <c r="D274" s="1845">
        <v>0.14799999999999999</v>
      </c>
      <c r="E274" s="1845">
        <v>0.15</v>
      </c>
      <c r="F274" s="1846">
        <v>6.7000000000000004E-2</v>
      </c>
    </row>
    <row r="275" spans="1:6" ht="14.25" thickBot="1">
      <c r="A275" s="1840" t="s">
        <v>1412</v>
      </c>
      <c r="B275" s="1844" t="s">
        <v>2182</v>
      </c>
      <c r="C275" s="1845">
        <v>0.15</v>
      </c>
      <c r="D275" s="1845">
        <v>0.15</v>
      </c>
      <c r="E275" s="1845">
        <v>0.15</v>
      </c>
      <c r="F275" s="1846">
        <v>0.15</v>
      </c>
    </row>
    <row r="276" spans="1:6" ht="14.25" thickBot="1">
      <c r="A276" s="1840" t="s">
        <v>1412</v>
      </c>
      <c r="B276" s="1844" t="s">
        <v>2183</v>
      </c>
      <c r="C276" s="1845">
        <v>0.14499999999999999</v>
      </c>
      <c r="D276" s="1845">
        <v>0.14299999999999999</v>
      </c>
      <c r="E276" s="1845">
        <v>0.15</v>
      </c>
      <c r="F276" s="1846">
        <v>5.8999999999999997E-2</v>
      </c>
    </row>
    <row r="277" spans="1:6" ht="14.25" thickBot="1">
      <c r="A277" s="1840" t="s">
        <v>1412</v>
      </c>
      <c r="B277" s="1844" t="s">
        <v>2184</v>
      </c>
      <c r="C277" s="1845">
        <v>0.15</v>
      </c>
      <c r="D277" s="1845">
        <v>0.15</v>
      </c>
      <c r="E277" s="1845">
        <v>0.15</v>
      </c>
      <c r="F277" s="1846">
        <v>0.121</v>
      </c>
    </row>
    <row r="278" spans="1:6" ht="14.25" thickBot="1">
      <c r="A278" s="1840" t="s">
        <v>1412</v>
      </c>
      <c r="B278" s="1844" t="s">
        <v>2185</v>
      </c>
      <c r="C278" s="1845">
        <v>0.15</v>
      </c>
      <c r="D278" s="1845">
        <v>0.15</v>
      </c>
      <c r="E278" s="1845">
        <v>0.15</v>
      </c>
      <c r="F278" s="1846">
        <v>0.13800000000000001</v>
      </c>
    </row>
    <row r="279" spans="1:6" ht="24.75" thickBot="1">
      <c r="A279" s="1840" t="s">
        <v>1412</v>
      </c>
      <c r="B279" s="1844" t="s">
        <v>2186</v>
      </c>
      <c r="C279" s="1854"/>
      <c r="D279" s="1854"/>
      <c r="E279" s="1854"/>
      <c r="F279" s="1846">
        <v>0.05</v>
      </c>
    </row>
    <row r="280" spans="1:6" ht="24.75" thickBot="1">
      <c r="A280" s="1840" t="s">
        <v>1412</v>
      </c>
      <c r="B280" s="1844" t="s">
        <v>2187</v>
      </c>
      <c r="C280" s="1854"/>
      <c r="D280" s="1854"/>
      <c r="E280" s="1854"/>
      <c r="F280" s="1846">
        <v>0.05</v>
      </c>
    </row>
    <row r="281" spans="1:6" ht="24.75" thickBot="1">
      <c r="A281" s="1840" t="s">
        <v>1412</v>
      </c>
      <c r="B281" s="1844" t="s">
        <v>2188</v>
      </c>
      <c r="C281" s="1854"/>
      <c r="D281" s="1854"/>
      <c r="E281" s="1854"/>
      <c r="F281" s="1846">
        <v>0.05</v>
      </c>
    </row>
    <row r="282" spans="1:6" ht="24.75" thickBot="1">
      <c r="A282" s="1840" t="s">
        <v>1412</v>
      </c>
      <c r="B282" s="1844" t="s">
        <v>2189</v>
      </c>
      <c r="C282" s="1854"/>
      <c r="D282" s="1854"/>
      <c r="E282" s="1854"/>
      <c r="F282" s="1846">
        <v>0.05</v>
      </c>
    </row>
    <row r="283" spans="1:6" ht="24.75" thickBot="1">
      <c r="A283" s="1840" t="s">
        <v>1412</v>
      </c>
      <c r="B283" s="1844" t="s">
        <v>2190</v>
      </c>
      <c r="C283" s="1854"/>
      <c r="D283" s="1854"/>
      <c r="E283" s="1854"/>
      <c r="F283" s="1846">
        <v>0.05</v>
      </c>
    </row>
    <row r="284" spans="1:6" ht="24.75" thickBot="1">
      <c r="A284" s="1840" t="s">
        <v>1412</v>
      </c>
      <c r="B284" s="1844" t="s">
        <v>2191</v>
      </c>
      <c r="C284" s="1854"/>
      <c r="D284" s="1854"/>
      <c r="E284" s="1854"/>
      <c r="F284" s="1846">
        <v>0.05</v>
      </c>
    </row>
    <row r="285" spans="1:6" ht="24.75" thickBot="1">
      <c r="A285" s="1840" t="s">
        <v>1412</v>
      </c>
      <c r="B285" s="1844" t="s">
        <v>2192</v>
      </c>
      <c r="C285" s="1854"/>
      <c r="D285" s="1854"/>
      <c r="E285" s="1854"/>
      <c r="F285" s="1846">
        <v>0.05</v>
      </c>
    </row>
    <row r="286" spans="1:6" ht="24.75" thickBot="1">
      <c r="A286" s="1840" t="s">
        <v>1412</v>
      </c>
      <c r="B286" s="1844" t="s">
        <v>2193</v>
      </c>
      <c r="C286" s="1854"/>
      <c r="D286" s="1854"/>
      <c r="E286" s="1854"/>
      <c r="F286" s="1846">
        <v>0.05</v>
      </c>
    </row>
    <row r="287" spans="1:6" ht="24.75" thickBot="1">
      <c r="A287" s="1840" t="s">
        <v>1412</v>
      </c>
      <c r="B287" s="1844" t="s">
        <v>2194</v>
      </c>
      <c r="C287" s="1854"/>
      <c r="D287" s="1854"/>
      <c r="E287" s="1854"/>
      <c r="F287" s="1846">
        <v>0.05</v>
      </c>
    </row>
    <row r="288" spans="1:6" ht="24.75" thickBot="1">
      <c r="A288" s="1840" t="s">
        <v>1412</v>
      </c>
      <c r="B288" s="1844" t="s">
        <v>2195</v>
      </c>
      <c r="C288" s="1854"/>
      <c r="D288" s="1854"/>
      <c r="E288" s="1854"/>
      <c r="F288" s="1846">
        <v>0.05</v>
      </c>
    </row>
    <row r="289" spans="1:6" ht="24.75" thickBot="1">
      <c r="A289" s="1848" t="s">
        <v>1412</v>
      </c>
      <c r="B289" s="1855" t="s">
        <v>2196</v>
      </c>
      <c r="C289" s="1851"/>
      <c r="D289" s="1851"/>
      <c r="E289" s="1851"/>
      <c r="F289" s="1856">
        <v>0.05</v>
      </c>
    </row>
    <row r="290" spans="1:6" ht="14.25" thickBot="1">
      <c r="A290" s="1840" t="s">
        <v>1416</v>
      </c>
      <c r="B290" s="1841" t="s">
        <v>2197</v>
      </c>
      <c r="C290" s="1842">
        <v>0.15</v>
      </c>
      <c r="D290" s="1842">
        <v>0.15</v>
      </c>
      <c r="E290" s="1842">
        <v>0.15</v>
      </c>
      <c r="F290" s="1864"/>
    </row>
    <row r="291" spans="1:6" ht="14.25" thickBot="1">
      <c r="A291" s="1840" t="s">
        <v>1416</v>
      </c>
      <c r="B291" s="1844" t="s">
        <v>1076</v>
      </c>
      <c r="C291" s="1845">
        <v>0.15</v>
      </c>
      <c r="D291" s="1845">
        <v>0.15</v>
      </c>
      <c r="E291" s="1845">
        <v>0.15</v>
      </c>
      <c r="F291" s="1853"/>
    </row>
    <row r="292" spans="1:6" ht="14.25" thickBot="1">
      <c r="A292" s="1840" t="s">
        <v>1416</v>
      </c>
      <c r="B292" s="1844" t="s">
        <v>2198</v>
      </c>
      <c r="C292" s="1845">
        <v>0.15</v>
      </c>
      <c r="D292" s="1845">
        <v>0.15</v>
      </c>
      <c r="E292" s="1845">
        <v>0.15</v>
      </c>
      <c r="F292" s="1846">
        <v>0.14699999999999999</v>
      </c>
    </row>
    <row r="293" spans="1:6" ht="14.25" thickBot="1">
      <c r="A293" s="1840" t="s">
        <v>1416</v>
      </c>
      <c r="B293" s="1844" t="s">
        <v>2199</v>
      </c>
      <c r="C293" s="1854"/>
      <c r="D293" s="1854"/>
      <c r="E293" s="1854"/>
      <c r="F293" s="1846">
        <v>0.1</v>
      </c>
    </row>
    <row r="294" spans="1:6" ht="14.25" thickBot="1">
      <c r="A294" s="1840" t="s">
        <v>1416</v>
      </c>
      <c r="B294" s="1844" t="s">
        <v>2200</v>
      </c>
      <c r="C294" s="1845">
        <v>0.15</v>
      </c>
      <c r="D294" s="1845">
        <v>0.15</v>
      </c>
      <c r="E294" s="1845">
        <v>0.15</v>
      </c>
      <c r="F294" s="1846">
        <v>0.15</v>
      </c>
    </row>
    <row r="295" spans="1:6" ht="14.25" thickBot="1">
      <c r="A295" s="1840" t="s">
        <v>1416</v>
      </c>
      <c r="B295" s="1844" t="s">
        <v>1117</v>
      </c>
      <c r="C295" s="1845">
        <v>0.15</v>
      </c>
      <c r="D295" s="1845">
        <v>0.15</v>
      </c>
      <c r="E295" s="1845">
        <v>0.15</v>
      </c>
      <c r="F295" s="1846">
        <v>0.15</v>
      </c>
    </row>
    <row r="296" spans="1:6" ht="14.25" thickBot="1">
      <c r="A296" s="1840" t="s">
        <v>1416</v>
      </c>
      <c r="B296" s="1844" t="s">
        <v>2201</v>
      </c>
      <c r="C296" s="1845">
        <v>0.15</v>
      </c>
      <c r="D296" s="1845">
        <v>0.15</v>
      </c>
      <c r="E296" s="1845">
        <v>0.15</v>
      </c>
      <c r="F296" s="1846">
        <v>0.15</v>
      </c>
    </row>
    <row r="297" spans="1:6" ht="14.25" thickBot="1">
      <c r="A297" s="1840" t="s">
        <v>1416</v>
      </c>
      <c r="B297" s="1844" t="s">
        <v>2202</v>
      </c>
      <c r="C297" s="1845">
        <v>0.14799999999999999</v>
      </c>
      <c r="D297" s="1845">
        <v>0.14899999999999999</v>
      </c>
      <c r="E297" s="1845">
        <v>0.15</v>
      </c>
      <c r="F297" s="1846">
        <v>0.13700000000000001</v>
      </c>
    </row>
    <row r="298" spans="1:6" ht="14.25" thickBot="1">
      <c r="A298" s="1840" t="s">
        <v>1416</v>
      </c>
      <c r="B298" s="1844" t="s">
        <v>1150</v>
      </c>
      <c r="C298" s="1845">
        <v>0.13400000000000001</v>
      </c>
      <c r="D298" s="1845">
        <v>0.13400000000000001</v>
      </c>
      <c r="E298" s="1845">
        <v>0.14499999999999999</v>
      </c>
      <c r="F298" s="1846">
        <v>0.14799999999999999</v>
      </c>
    </row>
    <row r="299" spans="1:6" ht="14.25" thickBot="1">
      <c r="A299" s="1840" t="s">
        <v>1416</v>
      </c>
      <c r="B299" s="1844" t="s">
        <v>1162</v>
      </c>
      <c r="C299" s="1845">
        <v>0.15</v>
      </c>
      <c r="D299" s="1845">
        <v>0.15</v>
      </c>
      <c r="E299" s="1845">
        <v>0.15</v>
      </c>
      <c r="F299" s="1853"/>
    </row>
    <row r="300" spans="1:6" ht="14.25" thickBot="1">
      <c r="A300" s="1840" t="s">
        <v>1416</v>
      </c>
      <c r="B300" s="1844" t="s">
        <v>2203</v>
      </c>
      <c r="C300" s="1845">
        <v>0.15</v>
      </c>
      <c r="D300" s="1845">
        <v>0.15</v>
      </c>
      <c r="E300" s="1845">
        <v>0.15</v>
      </c>
      <c r="F300" s="1846">
        <v>0.15</v>
      </c>
    </row>
    <row r="301" spans="1:6" ht="14.25" thickBot="1">
      <c r="A301" s="1840" t="s">
        <v>1416</v>
      </c>
      <c r="B301" s="1844" t="s">
        <v>1182</v>
      </c>
      <c r="C301" s="1845">
        <v>0.15</v>
      </c>
      <c r="D301" s="1845">
        <v>0.15</v>
      </c>
      <c r="E301" s="1845">
        <v>0.15</v>
      </c>
      <c r="F301" s="1853"/>
    </row>
    <row r="302" spans="1:6" ht="14.25" thickBot="1">
      <c r="A302" s="1840" t="s">
        <v>1416</v>
      </c>
      <c r="B302" s="1844" t="s">
        <v>2204</v>
      </c>
      <c r="C302" s="1845">
        <v>0.15</v>
      </c>
      <c r="D302" s="1845">
        <v>0.15</v>
      </c>
      <c r="E302" s="1845">
        <v>0.15</v>
      </c>
      <c r="F302" s="1846">
        <v>0.15</v>
      </c>
    </row>
    <row r="303" spans="1:6" ht="14.25" thickBot="1">
      <c r="A303" s="1840" t="s">
        <v>1416</v>
      </c>
      <c r="B303" s="1844" t="s">
        <v>1202</v>
      </c>
      <c r="C303" s="1845">
        <v>0.15</v>
      </c>
      <c r="D303" s="1845">
        <v>0.15</v>
      </c>
      <c r="E303" s="1845">
        <v>0.15</v>
      </c>
      <c r="F303" s="1846">
        <v>0.15</v>
      </c>
    </row>
    <row r="304" spans="1:6" ht="14.25" thickBot="1">
      <c r="A304" s="1840" t="s">
        <v>1416</v>
      </c>
      <c r="B304" s="1844" t="s">
        <v>1212</v>
      </c>
      <c r="C304" s="1845">
        <v>0.15</v>
      </c>
      <c r="D304" s="1845">
        <v>0.15</v>
      </c>
      <c r="E304" s="1845">
        <v>0.15</v>
      </c>
      <c r="F304" s="1853"/>
    </row>
    <row r="305" spans="1:6" ht="14.25" thickBot="1">
      <c r="A305" s="1840" t="s">
        <v>1416</v>
      </c>
      <c r="B305" s="1844" t="s">
        <v>2205</v>
      </c>
      <c r="C305" s="1845">
        <v>0.15</v>
      </c>
      <c r="D305" s="1845">
        <v>0.15</v>
      </c>
      <c r="E305" s="1845">
        <v>0.15</v>
      </c>
      <c r="F305" s="1846">
        <v>0.14000000000000001</v>
      </c>
    </row>
    <row r="306" spans="1:6" ht="14.25" thickBot="1">
      <c r="A306" s="1840" t="s">
        <v>1416</v>
      </c>
      <c r="B306" s="1844" t="s">
        <v>1232</v>
      </c>
      <c r="C306" s="1845">
        <v>0.15</v>
      </c>
      <c r="D306" s="1845">
        <v>0.15</v>
      </c>
      <c r="E306" s="1845">
        <v>0.15</v>
      </c>
      <c r="F306" s="1853"/>
    </row>
    <row r="307" spans="1:6" ht="14.25" thickBot="1">
      <c r="A307" s="1840" t="s">
        <v>1416</v>
      </c>
      <c r="B307" s="1844" t="s">
        <v>2206</v>
      </c>
      <c r="C307" s="1845">
        <v>0.15</v>
      </c>
      <c r="D307" s="1845">
        <v>0.15</v>
      </c>
      <c r="E307" s="1845">
        <v>0.15</v>
      </c>
      <c r="F307" s="1846">
        <v>0.14299999999999999</v>
      </c>
    </row>
    <row r="308" spans="1:6" ht="14.25" thickBot="1">
      <c r="A308" s="1840" t="s">
        <v>1416</v>
      </c>
      <c r="B308" s="1844" t="s">
        <v>1252</v>
      </c>
      <c r="C308" s="1845">
        <v>0.15</v>
      </c>
      <c r="D308" s="1845">
        <v>0.15</v>
      </c>
      <c r="E308" s="1845">
        <v>0.15</v>
      </c>
      <c r="F308" s="1846">
        <v>0.15</v>
      </c>
    </row>
    <row r="309" spans="1:6" ht="14.25" thickBot="1">
      <c r="A309" s="1840" t="s">
        <v>1416</v>
      </c>
      <c r="B309" s="1844" t="s">
        <v>1262</v>
      </c>
      <c r="C309" s="1845">
        <v>0.15</v>
      </c>
      <c r="D309" s="1845">
        <v>0.15</v>
      </c>
      <c r="E309" s="1845">
        <v>0.15</v>
      </c>
      <c r="F309" s="1853"/>
    </row>
    <row r="310" spans="1:6" ht="14.25" thickBot="1">
      <c r="A310" s="1840" t="s">
        <v>1416</v>
      </c>
      <c r="B310" s="1844" t="s">
        <v>2207</v>
      </c>
      <c r="C310" s="1845">
        <v>0.15</v>
      </c>
      <c r="D310" s="1845">
        <v>0.15</v>
      </c>
      <c r="E310" s="1845">
        <v>0.15</v>
      </c>
      <c r="F310" s="1846">
        <v>0.13700000000000001</v>
      </c>
    </row>
    <row r="311" spans="1:6" ht="14.25" thickBot="1">
      <c r="A311" s="1840" t="s">
        <v>1416</v>
      </c>
      <c r="B311" s="1844" t="s">
        <v>2208</v>
      </c>
      <c r="C311" s="1845">
        <v>0.15</v>
      </c>
      <c r="D311" s="1845">
        <v>0.15</v>
      </c>
      <c r="E311" s="1845">
        <v>0.15</v>
      </c>
      <c r="F311" s="1846">
        <v>0.15</v>
      </c>
    </row>
    <row r="312" spans="1:6" ht="14.25" thickBot="1">
      <c r="A312" s="1840" t="s">
        <v>1416</v>
      </c>
      <c r="B312" s="1844" t="s">
        <v>1288</v>
      </c>
      <c r="C312" s="1845">
        <v>0.15</v>
      </c>
      <c r="D312" s="1845">
        <v>0.15</v>
      </c>
      <c r="E312" s="1845">
        <v>0.15</v>
      </c>
      <c r="F312" s="1846">
        <v>0.1</v>
      </c>
    </row>
    <row r="313" spans="1:6" ht="14.25" thickBot="1">
      <c r="A313" s="1840" t="s">
        <v>1416</v>
      </c>
      <c r="B313" s="1844" t="s">
        <v>2209</v>
      </c>
      <c r="C313" s="1845">
        <v>0.15</v>
      </c>
      <c r="D313" s="1845">
        <v>0.15</v>
      </c>
      <c r="E313" s="1845">
        <v>0.15</v>
      </c>
      <c r="F313" s="1846">
        <v>0.15</v>
      </c>
    </row>
    <row r="314" spans="1:6" ht="24.75" thickBot="1">
      <c r="A314" s="1840" t="s">
        <v>1416</v>
      </c>
      <c r="B314" s="1844" t="s">
        <v>2210</v>
      </c>
      <c r="C314" s="1854"/>
      <c r="D314" s="1854"/>
      <c r="E314" s="1854"/>
      <c r="F314" s="1846">
        <v>0.05</v>
      </c>
    </row>
    <row r="315" spans="1:6" ht="24.75" thickBot="1">
      <c r="A315" s="1840" t="s">
        <v>1416</v>
      </c>
      <c r="B315" s="1844" t="s">
        <v>2211</v>
      </c>
      <c r="C315" s="1854"/>
      <c r="D315" s="1854"/>
      <c r="E315" s="1854"/>
      <c r="F315" s="1846">
        <v>0.05</v>
      </c>
    </row>
    <row r="316" spans="1:6" ht="24.75" thickBot="1">
      <c r="A316" s="1848" t="s">
        <v>1416</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1104</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1173</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1193</v>
      </c>
      <c r="C328" s="1845">
        <v>0.15</v>
      </c>
      <c r="D328" s="1845">
        <v>0.15</v>
      </c>
      <c r="E328" s="1845">
        <v>0.15</v>
      </c>
      <c r="F328" s="1846">
        <v>0.14099999999999999</v>
      </c>
    </row>
    <row r="329" spans="1:6" ht="14.25" thickBot="1">
      <c r="A329" s="1840" t="s">
        <v>2213</v>
      </c>
      <c r="B329" s="1844" t="s">
        <v>1203</v>
      </c>
      <c r="C329" s="1845">
        <v>0.15</v>
      </c>
      <c r="D329" s="1845">
        <v>0.15</v>
      </c>
      <c r="E329" s="1845">
        <v>0.15</v>
      </c>
      <c r="F329" s="1846">
        <v>0.15</v>
      </c>
    </row>
    <row r="330" spans="1:6" ht="14.25" thickBot="1">
      <c r="A330" s="1840" t="s">
        <v>2213</v>
      </c>
      <c r="B330" s="1844" t="s">
        <v>1213</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1233</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1253</v>
      </c>
      <c r="C334" s="1845">
        <v>0.15</v>
      </c>
      <c r="D334" s="1845">
        <v>0.15</v>
      </c>
      <c r="E334" s="1845">
        <v>0.15</v>
      </c>
      <c r="F334" s="1846">
        <v>0.15</v>
      </c>
    </row>
    <row r="335" spans="1:6" ht="14.25" thickBot="1">
      <c r="A335" s="1840" t="s">
        <v>2213</v>
      </c>
      <c r="B335" s="1844" t="s">
        <v>1263</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1281</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37400</v>
      </c>
      <c r="E1" s="1402" t="s">
        <v>2424</v>
      </c>
      <c r="F1" s="2416">
        <v>31200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156706</v>
      </c>
      <c r="C2" s="1403" t="s">
        <v>918</v>
      </c>
      <c r="D2" s="1404" t="s">
        <v>919</v>
      </c>
      <c r="E2" s="1405" t="s">
        <v>3083</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57721</v>
      </c>
      <c r="U2" s="2881"/>
      <c r="V2" s="2892">
        <f ca="1">ROUND(T2*U2/10000,0)</f>
        <v>0</v>
      </c>
      <c r="W2" s="2174"/>
      <c r="X2" s="2174"/>
      <c r="Y2" s="2174"/>
      <c r="Z2" s="2174"/>
      <c r="AA2" s="2174"/>
      <c r="AB2" s="2174"/>
      <c r="AC2" s="2175"/>
    </row>
    <row r="3" spans="1:39" ht="15.75">
      <c r="A3" s="1407" t="s">
        <v>1684</v>
      </c>
      <c r="B3" s="1037">
        <f ca="1">ROUND(B2*10000/D1,0)</f>
        <v>41900</v>
      </c>
      <c r="C3" s="1403" t="s">
        <v>924</v>
      </c>
      <c r="D3" s="1404" t="s">
        <v>925</v>
      </c>
      <c r="E3" s="1408" t="s">
        <v>3084</v>
      </c>
      <c r="F3" s="1409" t="s">
        <v>3082</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38042</v>
      </c>
      <c r="U3" s="2881"/>
      <c r="V3" s="2892">
        <f t="shared" ref="V3:V16" ca="1" si="1">ROUND(T3*U3/10000,0)</f>
        <v>0</v>
      </c>
      <c r="W3" s="2174"/>
      <c r="X3" s="2174"/>
      <c r="Y3" s="2174"/>
      <c r="Z3" s="2174"/>
      <c r="AA3" s="2174"/>
      <c r="AB3" s="2174"/>
      <c r="AC3" s="2175"/>
    </row>
    <row r="4" spans="1:39" ht="28.5">
      <c r="A4" s="1876" t="s">
        <v>2277</v>
      </c>
      <c r="B4" s="2417">
        <f ca="1">ROUND(B2*10000/F1,0)</f>
        <v>50226</v>
      </c>
      <c r="C4" s="1879" t="s">
        <v>2251</v>
      </c>
      <c r="D4" s="1879">
        <f ca="1">ROUND(B2/(F1/666.67),0)</f>
        <v>3348</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29936</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2380</v>
      </c>
      <c r="D5" s="3072">
        <f>ROUND(C6+C16,0)</f>
        <v>2380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22366</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SUMIF(L1:L12,'基准地价（旅馆）'!G2,M1:M12)</f>
        <v>2380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16820</v>
      </c>
      <c r="U6" s="2881"/>
      <c r="V6" s="2892">
        <f t="shared" ca="1" si="1"/>
        <v>0</v>
      </c>
      <c r="W6" s="2174"/>
      <c r="X6" s="2174"/>
      <c r="Y6" s="2174"/>
      <c r="Z6" s="2174"/>
      <c r="AA6" s="2174"/>
      <c r="AB6" s="2174"/>
      <c r="AC6" s="2176"/>
      <c r="AD6" s="1415"/>
      <c r="AE6" s="1415"/>
      <c r="AF6" s="1415"/>
      <c r="AG6" s="1415"/>
      <c r="AH6" s="1415"/>
      <c r="AI6" s="1415"/>
      <c r="AJ6" s="1416"/>
    </row>
    <row r="7" spans="1:39" ht="24">
      <c r="A7" s="347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13449</v>
      </c>
      <c r="U7" s="2881"/>
      <c r="V7" s="2892">
        <f t="shared" ca="1" si="1"/>
        <v>0</v>
      </c>
      <c r="W7" s="3185" t="s">
        <v>2761</v>
      </c>
      <c r="X7" s="2882" t="str">
        <f>G2</f>
        <v>十级</v>
      </c>
      <c r="Y7" s="2882" t="s">
        <v>2762</v>
      </c>
      <c r="Z7" s="2883">
        <f>G3</f>
        <v>0.1</v>
      </c>
      <c r="AA7" s="2177"/>
      <c r="AB7" s="2177"/>
      <c r="AC7" s="2178"/>
      <c r="AD7" s="2884"/>
      <c r="AE7" s="2884"/>
      <c r="AF7" s="2884"/>
      <c r="AG7" s="2884"/>
      <c r="AH7" s="2884"/>
      <c r="AI7" s="2884"/>
      <c r="AJ7" s="2885"/>
    </row>
    <row r="8" spans="1:39" ht="25.5">
      <c r="A8" s="347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82" t="s">
        <v>2779</v>
      </c>
      <c r="X8" s="3483"/>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7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81"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7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2380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8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7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81"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7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81"/>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7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81"/>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7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7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71" t="s">
        <v>1835</v>
      </c>
      <c r="B16" s="1423" t="s">
        <v>947</v>
      </c>
      <c r="C16" s="1051">
        <f>ROUND(IF(F17="与级别开发程度一致",0,(G17-E17)/C17),0)</f>
        <v>0</v>
      </c>
      <c r="D16" s="3489" t="s">
        <v>951</v>
      </c>
      <c r="E16" s="3490"/>
      <c r="F16" s="3489" t="s">
        <v>948</v>
      </c>
      <c r="G16" s="3490"/>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7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0.9</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5.3999999999999999E-2</v>
      </c>
      <c r="H20" s="2737" t="s">
        <v>971</v>
      </c>
      <c r="I20" s="2733">
        <f>SUMIF('数据-取费表'!C6:C15,E2,'数据-取费表'!F6:F15)/COUNTIF('数据-取费表'!C6:C15,E2)</f>
        <v>40</v>
      </c>
      <c r="J20" s="2739">
        <f>IF(E2="住宅",70,IF(E2="商业",40,50))</f>
        <v>40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14.097</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14.097</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156706</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41900</v>
      </c>
      <c r="D29" s="1491">
        <v>37400</v>
      </c>
      <c r="E29" s="1834">
        <f ca="1">ROUND(C29*D29/10000,0)</f>
        <v>156706</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10475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78" t="s">
        <v>2957</v>
      </c>
      <c r="B33" s="1511" t="s">
        <v>996</v>
      </c>
      <c r="C33" s="1058">
        <f ca="1">ROUND(D5*C19*C20*C24*F33,0)</f>
        <v>1981</v>
      </c>
      <c r="D33" s="1524"/>
      <c r="E33" s="1047">
        <f ca="1">ROUND(C33*D33/10000,0)</f>
        <v>0</v>
      </c>
      <c r="F33" s="1047">
        <f>SUMIF(修正!A45:A56,G2,修正!B45:B56)</f>
        <v>0.6</v>
      </c>
      <c r="G33" s="1047">
        <f t="shared" ref="G33" ca="1" si="6">ROUND(IF(E2="工业",C33*$M$39,C33*$M$38),0)</f>
        <v>495</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79"/>
      <c r="B34" s="1441" t="s">
        <v>997</v>
      </c>
      <c r="C34" s="1058">
        <f ca="1">ROUND(D5*C19*C20*C24*F34,0)</f>
        <v>991</v>
      </c>
      <c r="D34" s="1524"/>
      <c r="E34" s="1047">
        <f t="shared" ref="E34:E39" ca="1" si="7">ROUND(C34*D34/10000,0)</f>
        <v>0</v>
      </c>
      <c r="F34" s="1047">
        <f>SUMIF(修正!A45:A56,G2,修正!C45:C56)</f>
        <v>0.3</v>
      </c>
      <c r="G34" s="1047">
        <f ca="1">ROUND(IF(E2="工业",C34*$M$39,C34*$M$38),0)</f>
        <v>248</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79"/>
      <c r="B35" s="1441" t="s">
        <v>998</v>
      </c>
      <c r="C35" s="1058">
        <f ca="1">ROUND(D5*C19*C20*C24*F35,0)</f>
        <v>660</v>
      </c>
      <c r="D35" s="1524"/>
      <c r="E35" s="1047">
        <f t="shared" ca="1" si="7"/>
        <v>0</v>
      </c>
      <c r="F35" s="1047">
        <f>SUMIF(修正!A45:A56,G2,修正!D45:D56)</f>
        <v>0.2</v>
      </c>
      <c r="G35" s="1047">
        <f ca="1">ROUND(IF(E2="工业",C35*$M$39,C35*$M$38),0)</f>
        <v>165</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80"/>
      <c r="B36" s="1441" t="s">
        <v>999</v>
      </c>
      <c r="C36" s="1058">
        <f ca="1">ROUND(D5*C19*C20*C24*F36,0)</f>
        <v>660</v>
      </c>
      <c r="D36" s="1524"/>
      <c r="E36" s="1047">
        <f t="shared" ca="1" si="7"/>
        <v>0</v>
      </c>
      <c r="F36" s="1047">
        <f>SUMIF(修正!A45:A56,G2,修正!E45:E56)</f>
        <v>0.2</v>
      </c>
      <c r="G36" s="1047">
        <f ca="1">ROUND(IF(E2="工业",C36*$M$39,C36*$M$38),0)</f>
        <v>165</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660</v>
      </c>
      <c r="D37" s="1524"/>
      <c r="E37" s="1047">
        <f t="shared" ca="1" si="7"/>
        <v>0</v>
      </c>
      <c r="F37" s="1058">
        <f>SUMIF(修正!A45:A56,G2,修正!F45:F56)</f>
        <v>0.2</v>
      </c>
      <c r="G37" s="1047">
        <f ca="1">ROUND(IF(E2="工业",C37*$M$39,C37*$M$38),0)</f>
        <v>165</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5.3999999999999999E-2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f>IF(E2="商业",SUMIF(L1:L12,G2,N1:N12),"——")</f>
        <v>0.15</v>
      </c>
      <c r="G47" s="2379"/>
      <c r="H47" s="2425">
        <f t="shared" ref="H47:H55" si="11">IFERROR(ROUNDDOWN(($F$47*I47/2),4),"——")</f>
        <v>2.47E-2</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f t="shared" si="11"/>
        <v>1.8700000000000001E-2</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f t="shared" si="11"/>
        <v>3.7000000000000002E-3</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f t="shared" si="11"/>
        <v>3.7000000000000002E-3</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f t="shared" si="11"/>
        <v>6.0000000000000001E-3</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f t="shared" si="11"/>
        <v>2.2000000000000001E-3</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f t="shared" si="11"/>
        <v>3.7000000000000002E-3</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f t="shared" si="11"/>
        <v>7.4999999999999997E-3</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f t="shared" si="11"/>
        <v>4.4999999999999997E-3</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t="str">
        <f>IF(E2="办公",SUMIF(L1:L12,G2,N1:N12),"——")</f>
        <v>——</v>
      </c>
      <c r="G58" s="3188">
        <v>1.7999999999999999E-2</v>
      </c>
      <c r="H58" s="2425" t="str">
        <f>IFERROR(ROUNDDOWN($F$58*I58/2,4),"——")</f>
        <v>——</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t="str">
        <f t="shared" ref="H59:H66" si="19">IFERROR($F$58*I59/2,"——")</f>
        <v>——</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t="str">
        <f t="shared" si="19"/>
        <v>——</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t="str">
        <f t="shared" si="19"/>
        <v>——</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t="str">
        <f t="shared" si="19"/>
        <v>——</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t="str">
        <f t="shared" si="19"/>
        <v>——</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t="str">
        <f t="shared" si="19"/>
        <v>——</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t="str">
        <f t="shared" si="19"/>
        <v>——</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t="str">
        <f t="shared" si="19"/>
        <v>——</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76" t="s">
        <v>1630</v>
      </c>
      <c r="B90" s="3476"/>
      <c r="C90" s="3476"/>
      <c r="D90" s="3476"/>
      <c r="E90" s="3476"/>
      <c r="F90" s="3476"/>
      <c r="G90" s="3476"/>
      <c r="H90" s="3476"/>
      <c r="I90" s="3476"/>
      <c r="J90" s="3476"/>
      <c r="K90" s="3183"/>
      <c r="L90" s="3183"/>
      <c r="M90" s="3183"/>
      <c r="N90" s="3183"/>
    </row>
    <row r="91" spans="1:40">
      <c r="A91" s="3477" t="s">
        <v>1440</v>
      </c>
      <c r="B91" s="3477" t="s">
        <v>1631</v>
      </c>
      <c r="C91" s="1135" t="s">
        <v>1632</v>
      </c>
      <c r="D91" s="1136"/>
      <c r="E91" s="1136"/>
      <c r="F91" s="1136"/>
      <c r="G91" s="1136"/>
      <c r="H91" s="1136"/>
      <c r="I91" s="1136"/>
      <c r="J91" s="1137"/>
      <c r="K91" s="1129"/>
      <c r="L91" s="1129"/>
      <c r="M91" s="1129"/>
      <c r="N91" s="1129"/>
    </row>
    <row r="92" spans="1:40">
      <c r="A92" s="3477"/>
      <c r="B92" s="347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84"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8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8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8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8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8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85"/>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84"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85"/>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85"/>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85"/>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85"/>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85"/>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85"/>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85"/>
      <c r="B108" s="3487"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6"/>
      <c r="B109" s="3488"/>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70" t="s">
        <v>1636</v>
      </c>
      <c r="B110" s="3470"/>
      <c r="C110" s="3470"/>
      <c r="D110" s="3470"/>
      <c r="E110" s="3470"/>
      <c r="F110" s="3470"/>
      <c r="G110" s="3470"/>
      <c r="H110" s="3470"/>
      <c r="I110" s="3470"/>
      <c r="J110" s="3470"/>
      <c r="K110" s="3182"/>
      <c r="L110" s="3182"/>
      <c r="M110" s="3182"/>
      <c r="N110" s="3182"/>
    </row>
    <row r="112" spans="1:14" ht="12.75" thickBot="1"/>
    <row r="113" spans="1:13" ht="25.5" thickBot="1">
      <c r="A113" s="1015" t="s">
        <v>893</v>
      </c>
      <c r="B113" s="2415">
        <f>G3</f>
        <v>0.1</v>
      </c>
      <c r="C113" s="1016" t="s">
        <v>894</v>
      </c>
      <c r="D113" s="1017">
        <f>SUMPRODUCT((A115:A118=F113)*(B114:M114=H113)*B115:M118)</f>
        <v>0.6875</v>
      </c>
      <c r="E113" s="1018" t="s">
        <v>895</v>
      </c>
      <c r="F113" s="1019" t="str">
        <f>E2</f>
        <v>商业</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1" sqref="C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4100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2780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6.4733000000000001</v>
      </c>
      <c r="T2" s="2892">
        <f ca="1">ROUND($C$5*$C$18*$C$19*$C$20*S2*$C$24,0)</f>
        <v>10633</v>
      </c>
      <c r="U2" s="2881"/>
      <c r="V2" s="2892">
        <f ca="1">ROUND(T2*U2/10000,0)</f>
        <v>0</v>
      </c>
      <c r="W2" s="2174"/>
      <c r="X2" s="2174"/>
      <c r="Y2" s="2174"/>
      <c r="Z2" s="2174"/>
      <c r="AA2" s="2174"/>
      <c r="AB2" s="2174"/>
      <c r="AC2" s="2175"/>
    </row>
    <row r="3" spans="1:39" ht="36">
      <c r="A3" s="1407" t="s">
        <v>1684</v>
      </c>
      <c r="B3" s="1037">
        <f ca="1">ROUND(B2*10000/D1,0)</f>
        <v>6780</v>
      </c>
      <c r="C3" s="1403" t="s">
        <v>924</v>
      </c>
      <c r="D3" s="1404" t="s">
        <v>925</v>
      </c>
      <c r="E3" s="1408" t="s">
        <v>3088</v>
      </c>
      <c r="F3" s="1409" t="s">
        <v>3258</v>
      </c>
      <c r="G3" s="1038">
        <f>IF(F3="宗地容积率",'数据-汇总表'!I4,IF(F3="估价对象容积率",'数据-汇总表'!I6,'数据-汇总表'!I7))</f>
        <v>0.3</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4.2663000000000002</v>
      </c>
      <c r="T3" s="2892">
        <f t="shared" ref="T3:T16" ca="1" si="0">ROUND($C$5*$C$18*$C$19*$C$20*S3*$C$24,0)</f>
        <v>7008</v>
      </c>
      <c r="U3" s="2881"/>
      <c r="V3" s="2892">
        <f t="shared" ref="V3:V16" ca="1" si="1">ROUND(T3*U3/10000,0)</f>
        <v>0</v>
      </c>
      <c r="W3" s="2174"/>
      <c r="X3" s="2174"/>
      <c r="Y3" s="2174"/>
      <c r="Z3" s="2174"/>
      <c r="AA3" s="2174"/>
      <c r="AB3" s="2174"/>
      <c r="AC3" s="2175"/>
    </row>
    <row r="4" spans="1:39" ht="28.5">
      <c r="A4" s="1876" t="s">
        <v>2277</v>
      </c>
      <c r="B4" s="2417">
        <f ca="1">ROUND(B2*10000/F1,0)</f>
        <v>683</v>
      </c>
      <c r="C4" s="1879" t="s">
        <v>2251</v>
      </c>
      <c r="D4" s="1879">
        <f ca="1">ROUND(B2/(F1/666.67),0)</f>
        <v>46</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3.3573</v>
      </c>
      <c r="T4" s="2892">
        <f t="shared" ca="1" si="0"/>
        <v>5515</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2.5083000000000002</v>
      </c>
      <c r="T5" s="2892">
        <f t="shared" ca="1" si="0"/>
        <v>4120</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SUMIF(L1:L12,'基准地价（停车场0.3)'!G2,M1:M12)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1.8863000000000001</v>
      </c>
      <c r="T6" s="2892">
        <f t="shared" ca="1" si="0"/>
        <v>3099</v>
      </c>
      <c r="U6" s="2881"/>
      <c r="V6" s="2892">
        <f t="shared" ca="1" si="1"/>
        <v>0</v>
      </c>
      <c r="W6" s="2174"/>
      <c r="X6" s="2174"/>
      <c r="Y6" s="2174"/>
      <c r="Z6" s="2174"/>
      <c r="AA6" s="2174"/>
      <c r="AB6" s="2174"/>
      <c r="AC6" s="2176"/>
      <c r="AD6" s="1415"/>
      <c r="AE6" s="1415"/>
      <c r="AF6" s="1415"/>
      <c r="AG6" s="1415"/>
      <c r="AH6" s="1415"/>
      <c r="AI6" s="1415"/>
      <c r="AJ6" s="1416"/>
    </row>
    <row r="7" spans="1:39" ht="24">
      <c r="A7" s="347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1.5083</v>
      </c>
      <c r="T7" s="2892">
        <f t="shared" ca="1" si="0"/>
        <v>2478</v>
      </c>
      <c r="U7" s="2881"/>
      <c r="V7" s="2892">
        <f t="shared" ca="1" si="1"/>
        <v>0</v>
      </c>
      <c r="W7" s="3185" t="s">
        <v>2761</v>
      </c>
      <c r="X7" s="2882" t="str">
        <f>G2</f>
        <v>十级</v>
      </c>
      <c r="Y7" s="2882" t="s">
        <v>2762</v>
      </c>
      <c r="Z7" s="2883">
        <f>G3</f>
        <v>0.3</v>
      </c>
      <c r="AA7" s="2177"/>
      <c r="AB7" s="2177"/>
      <c r="AC7" s="2178"/>
      <c r="AD7" s="2884"/>
      <c r="AE7" s="2884"/>
      <c r="AF7" s="2884"/>
      <c r="AG7" s="2884"/>
      <c r="AH7" s="2884"/>
      <c r="AI7" s="2884"/>
      <c r="AJ7" s="2885"/>
    </row>
    <row r="8" spans="1:39" ht="25.5">
      <c r="A8" s="347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82" t="s">
        <v>2779</v>
      </c>
      <c r="X8" s="3483"/>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7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81"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7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8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7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81" t="s">
        <v>2777</v>
      </c>
      <c r="X11" s="1047" t="s">
        <v>2762</v>
      </c>
      <c r="Y11" s="1638">
        <f>$G$3</f>
        <v>0.3</v>
      </c>
      <c r="Z11" s="1638">
        <f t="shared" ref="Z11:AJ11" si="3">$G$3</f>
        <v>0.3</v>
      </c>
      <c r="AA11" s="1638">
        <f t="shared" si="3"/>
        <v>0.3</v>
      </c>
      <c r="AB11" s="1638">
        <f t="shared" si="3"/>
        <v>0.3</v>
      </c>
      <c r="AC11" s="1638">
        <f t="shared" si="3"/>
        <v>0.3</v>
      </c>
      <c r="AD11" s="1638">
        <f t="shared" si="3"/>
        <v>0.3</v>
      </c>
      <c r="AE11" s="1638">
        <f t="shared" si="3"/>
        <v>0.3</v>
      </c>
      <c r="AF11" s="1638">
        <f t="shared" si="3"/>
        <v>0.3</v>
      </c>
      <c r="AG11" s="1638">
        <f t="shared" si="3"/>
        <v>0.3</v>
      </c>
      <c r="AH11" s="1638">
        <f t="shared" si="3"/>
        <v>0.3</v>
      </c>
      <c r="AI11" s="1638">
        <f t="shared" si="3"/>
        <v>0.3</v>
      </c>
      <c r="AJ11" s="1638">
        <f t="shared" si="3"/>
        <v>0.3</v>
      </c>
    </row>
    <row r="12" spans="1:39" ht="25.5" thickBot="1">
      <c r="A12" s="347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81"/>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7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81"/>
      <c r="X13" s="2889"/>
      <c r="Y13" s="2888">
        <f>(-0.163*(Y12^2)-0.59*Y12+7617)*(10^(-4))/Y11</f>
        <v>2.5390000000000001</v>
      </c>
      <c r="Z13" s="2888">
        <f t="shared" ref="Z13:AJ13" si="5">(-0.163*(Z12^2)-0.59*Z12+7617)*(10^(-4))/Z11</f>
        <v>2.5390000000000001</v>
      </c>
      <c r="AA13" s="2888">
        <f t="shared" si="5"/>
        <v>2.5390000000000001</v>
      </c>
      <c r="AB13" s="2888">
        <f t="shared" si="5"/>
        <v>2.5390000000000001</v>
      </c>
      <c r="AC13" s="2888">
        <f t="shared" si="5"/>
        <v>2.5390000000000001</v>
      </c>
      <c r="AD13" s="2888">
        <f t="shared" si="5"/>
        <v>2.5390000000000001</v>
      </c>
      <c r="AE13" s="2888">
        <f t="shared" si="5"/>
        <v>2.5390000000000001</v>
      </c>
      <c r="AF13" s="2888">
        <f t="shared" si="5"/>
        <v>2.5390000000000001</v>
      </c>
      <c r="AG13" s="2888">
        <f t="shared" si="5"/>
        <v>2.5390000000000001</v>
      </c>
      <c r="AH13" s="2888">
        <f t="shared" si="5"/>
        <v>2.5390000000000001</v>
      </c>
      <c r="AI13" s="2888">
        <f t="shared" si="5"/>
        <v>2.5390000000000001</v>
      </c>
      <c r="AJ13" s="2888">
        <f t="shared" si="5"/>
        <v>2.5390000000000001</v>
      </c>
    </row>
    <row r="14" spans="1:39" ht="12.75" customHeight="1">
      <c r="A14" s="347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7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71" t="s">
        <v>1835</v>
      </c>
      <c r="B16" s="1423" t="s">
        <v>947</v>
      </c>
      <c r="C16" s="1051">
        <f>ROUND(IF(F17="与级别开发程度一致",0,(G17-E17)/C17),0)</f>
        <v>0</v>
      </c>
      <c r="D16" s="3489" t="s">
        <v>951</v>
      </c>
      <c r="E16" s="3490"/>
      <c r="F16" s="3489" t="s">
        <v>948</v>
      </c>
      <c r="G16" s="3490"/>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7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0.5</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4.1280000000000001</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4.1280000000000001</v>
      </c>
      <c r="E22" s="1038">
        <f>ROUNDDOWN(G3,1)</f>
        <v>0.3</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038">
        <f>ROUNDUP(G3,1)</f>
        <v>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1.4918</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2780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6781</v>
      </c>
      <c r="D29" s="1491">
        <f>'数据-基础表'!M15</f>
        <v>4100</v>
      </c>
      <c r="E29" s="1834">
        <f ca="1">ROUND(C29*D29/10000,0)</f>
        <v>2780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1695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7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7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7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8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76" t="s">
        <v>1630</v>
      </c>
      <c r="B90" s="3476"/>
      <c r="C90" s="3476"/>
      <c r="D90" s="3476"/>
      <c r="E90" s="3476"/>
      <c r="F90" s="3476"/>
      <c r="G90" s="3476"/>
      <c r="H90" s="3476"/>
      <c r="I90" s="3476"/>
      <c r="J90" s="3476"/>
      <c r="K90" s="3183"/>
      <c r="L90" s="3183"/>
      <c r="M90" s="3183"/>
      <c r="N90" s="3183"/>
    </row>
    <row r="91" spans="1:40">
      <c r="A91" s="3477" t="s">
        <v>1440</v>
      </c>
      <c r="B91" s="3477" t="s">
        <v>1631</v>
      </c>
      <c r="C91" s="1135" t="s">
        <v>1632</v>
      </c>
      <c r="D91" s="1136"/>
      <c r="E91" s="1136"/>
      <c r="F91" s="1136"/>
      <c r="G91" s="1136"/>
      <c r="H91" s="1136"/>
      <c r="I91" s="1136"/>
      <c r="J91" s="1137"/>
      <c r="K91" s="1129"/>
      <c r="L91" s="1129"/>
      <c r="M91" s="1129"/>
      <c r="N91" s="1129"/>
    </row>
    <row r="92" spans="1:40">
      <c r="A92" s="3477"/>
      <c r="B92" s="347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84"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8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8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8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8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8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85"/>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84" t="s">
        <v>1634</v>
      </c>
      <c r="B101" s="1142" t="s">
        <v>903</v>
      </c>
      <c r="C101" s="1143">
        <f>$G$3</f>
        <v>0.3</v>
      </c>
      <c r="D101" s="1143">
        <f t="shared" ref="D101:N101" si="31">$G$3</f>
        <v>0.3</v>
      </c>
      <c r="E101" s="1143">
        <f t="shared" si="31"/>
        <v>0.3</v>
      </c>
      <c r="F101" s="1143">
        <f t="shared" si="31"/>
        <v>0.3</v>
      </c>
      <c r="G101" s="1143">
        <f t="shared" si="31"/>
        <v>0.3</v>
      </c>
      <c r="H101" s="1143">
        <f t="shared" si="31"/>
        <v>0.3</v>
      </c>
      <c r="I101" s="1143">
        <f t="shared" si="31"/>
        <v>0.3</v>
      </c>
      <c r="J101" s="1143">
        <f t="shared" si="31"/>
        <v>0.3</v>
      </c>
      <c r="K101" s="1143">
        <f t="shared" si="31"/>
        <v>0.3</v>
      </c>
      <c r="L101" s="1143">
        <f t="shared" si="31"/>
        <v>0.3</v>
      </c>
      <c r="M101" s="1143">
        <f t="shared" si="31"/>
        <v>0.3</v>
      </c>
      <c r="N101" s="1143">
        <f t="shared" si="31"/>
        <v>0.3</v>
      </c>
    </row>
    <row r="102" spans="1:14">
      <c r="A102" s="3485"/>
      <c r="B102" s="1138">
        <v>1</v>
      </c>
      <c r="C102" s="1139">
        <f>1.9362/C101</f>
        <v>6.4539999999999997</v>
      </c>
      <c r="D102" s="1139">
        <f>1.9362/D101</f>
        <v>6.4539999999999997</v>
      </c>
      <c r="E102" s="1139">
        <f>1.8629/E101</f>
        <v>6.2096666666666671</v>
      </c>
      <c r="F102" s="1139">
        <f>1.8629/F101</f>
        <v>6.2096666666666671</v>
      </c>
      <c r="G102" s="1139">
        <f>1.8629/G101</f>
        <v>6.2096666666666671</v>
      </c>
      <c r="H102" s="1139">
        <f>1.8629/H101</f>
        <v>6.2096666666666671</v>
      </c>
      <c r="I102" s="1139">
        <f>1.8629/I101</f>
        <v>6.2096666666666671</v>
      </c>
      <c r="J102" s="1139">
        <f>1.942/J101</f>
        <v>6.4733333333333336</v>
      </c>
      <c r="K102" s="1139">
        <f>1.942/K101</f>
        <v>6.4733333333333336</v>
      </c>
      <c r="L102" s="1139">
        <f>1.942/L101</f>
        <v>6.4733333333333336</v>
      </c>
      <c r="M102" s="1139">
        <f>1.942/M101</f>
        <v>6.4733333333333336</v>
      </c>
      <c r="N102" s="1139">
        <f>1.942/N101</f>
        <v>6.4733333333333336</v>
      </c>
    </row>
    <row r="103" spans="1:14">
      <c r="A103" s="3485"/>
      <c r="B103" s="1138">
        <v>2</v>
      </c>
      <c r="C103" s="1139">
        <f>1.4198/C101</f>
        <v>4.7326666666666668</v>
      </c>
      <c r="D103" s="1139">
        <f>1.4198/D101</f>
        <v>4.7326666666666668</v>
      </c>
      <c r="E103" s="1139">
        <f>1.3372/E101</f>
        <v>4.4573333333333336</v>
      </c>
      <c r="F103" s="1139">
        <f>1.3372/F101</f>
        <v>4.4573333333333336</v>
      </c>
      <c r="G103" s="1139">
        <f>1.3372/G101</f>
        <v>4.4573333333333336</v>
      </c>
      <c r="H103" s="1139">
        <f>1.3372/H101</f>
        <v>4.4573333333333336</v>
      </c>
      <c r="I103" s="1139">
        <f>1.3372/I101</f>
        <v>4.4573333333333336</v>
      </c>
      <c r="J103" s="1139">
        <f>1.2799/J101</f>
        <v>4.2663333333333338</v>
      </c>
      <c r="K103" s="1139">
        <f>1.2799/K101</f>
        <v>4.2663333333333338</v>
      </c>
      <c r="L103" s="1139">
        <f>1.2799/L101</f>
        <v>4.2663333333333338</v>
      </c>
      <c r="M103" s="1139">
        <f>1.2799/M101</f>
        <v>4.2663333333333338</v>
      </c>
      <c r="N103" s="1139">
        <f>1.2799/N101</f>
        <v>4.2663333333333338</v>
      </c>
    </row>
    <row r="104" spans="1:14">
      <c r="A104" s="3485"/>
      <c r="B104" s="1138">
        <v>3</v>
      </c>
      <c r="C104" s="1139">
        <f>1.1594/C101</f>
        <v>3.8646666666666669</v>
      </c>
      <c r="D104" s="1139">
        <f>1.1594/D101</f>
        <v>3.8646666666666669</v>
      </c>
      <c r="E104" s="1139">
        <f>1.0788/E101</f>
        <v>3.5960000000000001</v>
      </c>
      <c r="F104" s="1139">
        <f>1.0788/F101</f>
        <v>3.5960000000000001</v>
      </c>
      <c r="G104" s="1139">
        <f>1.0788/G101</f>
        <v>3.5960000000000001</v>
      </c>
      <c r="H104" s="1139">
        <f>1.0788/H101</f>
        <v>3.5960000000000001</v>
      </c>
      <c r="I104" s="1139">
        <f>1.0788/I101</f>
        <v>3.5960000000000001</v>
      </c>
      <c r="J104" s="1139">
        <f>1.0072/J101</f>
        <v>3.3573333333333339</v>
      </c>
      <c r="K104" s="1139">
        <f>1.0072/K101</f>
        <v>3.3573333333333339</v>
      </c>
      <c r="L104" s="1139">
        <f>1.0072/L101</f>
        <v>3.3573333333333339</v>
      </c>
      <c r="M104" s="1139">
        <f>1.0072/M101</f>
        <v>3.3573333333333339</v>
      </c>
      <c r="N104" s="1139">
        <f>1.0072/N101</f>
        <v>3.3573333333333339</v>
      </c>
    </row>
    <row r="105" spans="1:14">
      <c r="A105" s="3485"/>
      <c r="B105" s="1138">
        <v>4</v>
      </c>
      <c r="C105" s="1139">
        <f>0.9622/C101</f>
        <v>3.2073333333333336</v>
      </c>
      <c r="D105" s="1139">
        <f>0.9622/D101</f>
        <v>3.2073333333333336</v>
      </c>
      <c r="E105" s="1139">
        <f>0.8656/E101</f>
        <v>2.8853333333333335</v>
      </c>
      <c r="F105" s="1139">
        <f>0.8656/F101</f>
        <v>2.8853333333333335</v>
      </c>
      <c r="G105" s="1139">
        <f>0.8656/G101</f>
        <v>2.8853333333333335</v>
      </c>
      <c r="H105" s="1139">
        <f>0.8656/H101</f>
        <v>2.8853333333333335</v>
      </c>
      <c r="I105" s="1139">
        <f>0.8656/I101</f>
        <v>2.8853333333333335</v>
      </c>
      <c r="J105" s="1139">
        <f>0.7525/J101</f>
        <v>2.5083333333333333</v>
      </c>
      <c r="K105" s="1139">
        <f>0.7525/K101</f>
        <v>2.5083333333333333</v>
      </c>
      <c r="L105" s="1139">
        <f>0.7525/L101</f>
        <v>2.5083333333333333</v>
      </c>
      <c r="M105" s="1139">
        <f>0.7525/M101</f>
        <v>2.5083333333333333</v>
      </c>
      <c r="N105" s="1139">
        <f>0.7525/N101</f>
        <v>2.5083333333333333</v>
      </c>
    </row>
    <row r="106" spans="1:14">
      <c r="A106" s="3485"/>
      <c r="B106" s="1138">
        <v>5</v>
      </c>
      <c r="C106" s="1139">
        <f>0.8417/C101</f>
        <v>2.8056666666666668</v>
      </c>
      <c r="D106" s="1139">
        <f>0.8417/D101</f>
        <v>2.8056666666666668</v>
      </c>
      <c r="E106" s="1139">
        <f>0.7371/E101</f>
        <v>2.4569999999999999</v>
      </c>
      <c r="F106" s="1139">
        <f>0.7371/F101</f>
        <v>2.4569999999999999</v>
      </c>
      <c r="G106" s="1139">
        <f>0.7371/G101</f>
        <v>2.4569999999999999</v>
      </c>
      <c r="H106" s="1139">
        <f>0.7371/H101</f>
        <v>2.4569999999999999</v>
      </c>
      <c r="I106" s="1139">
        <f>0.7371/I101</f>
        <v>2.4569999999999999</v>
      </c>
      <c r="J106" s="1139">
        <f>0.5659/J101</f>
        <v>1.8863333333333332</v>
      </c>
      <c r="K106" s="1139">
        <f>0.5659/K101</f>
        <v>1.8863333333333332</v>
      </c>
      <c r="L106" s="1139">
        <f>0.5659/L101</f>
        <v>1.8863333333333332</v>
      </c>
      <c r="M106" s="1139">
        <f>0.5659/M101</f>
        <v>1.8863333333333332</v>
      </c>
      <c r="N106" s="1139">
        <f>0.5659/N101</f>
        <v>1.8863333333333332</v>
      </c>
    </row>
    <row r="107" spans="1:14">
      <c r="A107" s="3485"/>
      <c r="B107" s="1138">
        <v>6</v>
      </c>
      <c r="C107" s="1139">
        <f>0.7608/C101</f>
        <v>2.536</v>
      </c>
      <c r="D107" s="1139">
        <f>0.7608/D101</f>
        <v>2.536</v>
      </c>
      <c r="E107" s="1139">
        <f>0.6482/E101</f>
        <v>2.1606666666666667</v>
      </c>
      <c r="F107" s="1139">
        <f>0.6482/F101</f>
        <v>2.1606666666666667</v>
      </c>
      <c r="G107" s="1139">
        <f>0.6482/G101</f>
        <v>2.1606666666666667</v>
      </c>
      <c r="H107" s="1139">
        <f>0.6482/H101</f>
        <v>2.1606666666666667</v>
      </c>
      <c r="I107" s="1139">
        <f>0.6482/I101</f>
        <v>2.1606666666666667</v>
      </c>
      <c r="J107" s="1139">
        <f>0.4525/J101</f>
        <v>1.5083333333333335</v>
      </c>
      <c r="K107" s="1139">
        <f>0.4525/K101</f>
        <v>1.5083333333333335</v>
      </c>
      <c r="L107" s="1139">
        <f>0.4525/L101</f>
        <v>1.5083333333333335</v>
      </c>
      <c r="M107" s="1139">
        <f>0.4525/M101</f>
        <v>1.5083333333333335</v>
      </c>
      <c r="N107" s="1139">
        <f>0.4525/N101</f>
        <v>1.5083333333333335</v>
      </c>
    </row>
    <row r="108" spans="1:14">
      <c r="A108" s="3485"/>
      <c r="B108" s="3487"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6"/>
      <c r="B109" s="3488"/>
      <c r="C109" s="1141">
        <f>(-0.163*(C108^2)-0.59*C108+7617)*(10^(-4))/C101</f>
        <v>2.5339493333333336</v>
      </c>
      <c r="D109" s="1141">
        <f>(-0.163*(D108^2)-0.59*D108+7617)*(10^(-4))/D101</f>
        <v>2.5339493333333336</v>
      </c>
      <c r="E109" s="1141">
        <f>(-0.161*(E108^2)-7.509*E108+6533)*(10^(-4))/E101</f>
        <v>2.1542080000000001</v>
      </c>
      <c r="F109" s="1141">
        <f>(-0.161*(F108^2)-7.509*F108+6533)*(10^(-4))/F101</f>
        <v>2.1542080000000001</v>
      </c>
      <c r="G109" s="1141">
        <f>(-0.161*(G108^2)-7.509*G108+6533)*(10^(-4))/G101</f>
        <v>2.1542080000000001</v>
      </c>
      <c r="H109" s="1141">
        <f>(-0.161*(H108^2)-7.509*H108+6533)*(10^(-4))/H101</f>
        <v>2.1542080000000001</v>
      </c>
      <c r="I109" s="1141">
        <f>(-0.161*(I108^2)-7.509*I108+6533)*(10^(-4))/I101</f>
        <v>2.1542080000000001</v>
      </c>
      <c r="J109" s="1141">
        <f>(-0.214*(J108^2)-21.991*J108+4665)*(10^(-4))/J101</f>
        <v>1.4917920000000002</v>
      </c>
      <c r="K109" s="1141">
        <f>(-0.214*(K108^2)-21.991*K108+4665)*(10^(-4))/K101</f>
        <v>1.4917920000000002</v>
      </c>
      <c r="L109" s="1141">
        <f>(-0.214*(L108^2)-21.991*L108+4665)*(10^(-4))/L101</f>
        <v>1.4917920000000002</v>
      </c>
      <c r="M109" s="1141">
        <f>(-0.214*(M108^2)-21.991*M108+4665)*(10^(-4))/M101</f>
        <v>1.4917920000000002</v>
      </c>
      <c r="N109" s="1141">
        <f>(-0.214*(N108^2)-21.991*N108+4665)*(10^(-4))/N101</f>
        <v>1.4917920000000002</v>
      </c>
    </row>
    <row r="110" spans="1:14">
      <c r="A110" s="3470" t="s">
        <v>1636</v>
      </c>
      <c r="B110" s="3470"/>
      <c r="C110" s="3470"/>
      <c r="D110" s="3470"/>
      <c r="E110" s="3470"/>
      <c r="F110" s="3470"/>
      <c r="G110" s="3470"/>
      <c r="H110" s="3470"/>
      <c r="I110" s="3470"/>
      <c r="J110" s="3470"/>
      <c r="K110" s="3182"/>
      <c r="L110" s="3182"/>
      <c r="M110" s="3182"/>
      <c r="N110" s="3182"/>
    </row>
    <row r="112" spans="1:14" ht="12.75" thickBot="1"/>
    <row r="113" spans="1:13" ht="25.5" thickBot="1">
      <c r="A113" s="1015" t="s">
        <v>893</v>
      </c>
      <c r="B113" s="2415">
        <f>G3</f>
        <v>0.3</v>
      </c>
      <c r="C113" s="1016" t="s">
        <v>894</v>
      </c>
      <c r="D113" s="1017">
        <f>SUMPRODUCT((A115:A118=F113)*(B114:M114=H113)*B115:M118)</f>
        <v>0.76519999999999999</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0.93069999999999997</v>
      </c>
      <c r="C115" s="1029">
        <f>B115</f>
        <v>0.93069999999999997</v>
      </c>
      <c r="D115" s="1029">
        <f>ROUND(0.8331-0.0109*B113,4)</f>
        <v>0.82979999999999998</v>
      </c>
      <c r="E115" s="1029">
        <f>D115</f>
        <v>0.82979999999999998</v>
      </c>
      <c r="F115" s="1029">
        <f>E115</f>
        <v>0.82979999999999998</v>
      </c>
      <c r="G115" s="1029">
        <f>F115</f>
        <v>0.82979999999999998</v>
      </c>
      <c r="H115" s="1029">
        <f>G115</f>
        <v>0.82979999999999998</v>
      </c>
      <c r="I115" s="1029">
        <f>ROUND(0.689-0.0155*B113,4)</f>
        <v>0.68440000000000001</v>
      </c>
      <c r="J115" s="1029">
        <f t="shared" ref="J115:M118" si="33">I115</f>
        <v>0.68440000000000001</v>
      </c>
      <c r="K115" s="1029">
        <f t="shared" si="33"/>
        <v>0.68440000000000001</v>
      </c>
      <c r="L115" s="1029">
        <f t="shared" si="33"/>
        <v>0.68440000000000001</v>
      </c>
      <c r="M115" s="1030">
        <f t="shared" si="33"/>
        <v>0.68440000000000001</v>
      </c>
    </row>
    <row r="116" spans="1:13" ht="12.75">
      <c r="A116" s="1028" t="s">
        <v>898</v>
      </c>
      <c r="B116" s="1029">
        <f>ROUND(0.949-0.012*B113,4)</f>
        <v>0.94540000000000002</v>
      </c>
      <c r="C116" s="1029">
        <f>B116</f>
        <v>0.94540000000000002</v>
      </c>
      <c r="D116" s="1029">
        <f>ROUND(0.8567-0.013*B113,4)</f>
        <v>0.8528</v>
      </c>
      <c r="E116" s="1029">
        <f t="shared" ref="E116:H117" si="34">D116</f>
        <v>0.8528</v>
      </c>
      <c r="F116" s="1029">
        <f t="shared" si="34"/>
        <v>0.8528</v>
      </c>
      <c r="G116" s="1029">
        <f t="shared" si="34"/>
        <v>0.8528</v>
      </c>
      <c r="H116" s="1029">
        <f t="shared" si="34"/>
        <v>0.8528</v>
      </c>
      <c r="I116" s="1029">
        <f>ROUND(0.7694-0.014*B113,4)</f>
        <v>0.76519999999999999</v>
      </c>
      <c r="J116" s="1029">
        <f t="shared" si="33"/>
        <v>0.76519999999999999</v>
      </c>
      <c r="K116" s="1029">
        <f t="shared" si="33"/>
        <v>0.76519999999999999</v>
      </c>
      <c r="L116" s="1029">
        <f t="shared" si="33"/>
        <v>0.76519999999999999</v>
      </c>
      <c r="M116" s="1030">
        <f t="shared" si="33"/>
        <v>0.76519999999999999</v>
      </c>
    </row>
    <row r="117" spans="1:13" ht="12.75">
      <c r="A117" s="1031" t="s">
        <v>899</v>
      </c>
      <c r="B117" s="1029">
        <f>ROUND(0.8808-0.006*B113,4)</f>
        <v>0.879</v>
      </c>
      <c r="C117" s="1029">
        <f>B117</f>
        <v>0.879</v>
      </c>
      <c r="D117" s="1029">
        <f>ROUND(0.8748-0.008*B113,4)</f>
        <v>0.87239999999999995</v>
      </c>
      <c r="E117" s="1029">
        <f t="shared" si="34"/>
        <v>0.87239999999999995</v>
      </c>
      <c r="F117" s="1029">
        <f t="shared" si="34"/>
        <v>0.87239999999999995</v>
      </c>
      <c r="G117" s="1029">
        <f t="shared" si="34"/>
        <v>0.87239999999999995</v>
      </c>
      <c r="H117" s="1029">
        <f t="shared" si="34"/>
        <v>0.87239999999999995</v>
      </c>
      <c r="I117" s="1029">
        <f>ROUND(0.7412-0.0095*B113,4)</f>
        <v>0.73839999999999995</v>
      </c>
      <c r="J117" s="1029">
        <f t="shared" si="33"/>
        <v>0.73839999999999995</v>
      </c>
      <c r="K117" s="1029">
        <f t="shared" si="33"/>
        <v>0.73839999999999995</v>
      </c>
      <c r="L117" s="1029">
        <f t="shared" si="33"/>
        <v>0.73839999999999995</v>
      </c>
      <c r="M117" s="1030">
        <f t="shared" si="33"/>
        <v>0.73839999999999995</v>
      </c>
    </row>
    <row r="118" spans="1:13" ht="13.5" thickBot="1">
      <c r="A118" s="1032" t="s">
        <v>900</v>
      </c>
      <c r="B118" s="1033">
        <f>ROUND(0.7275-0.01*B113,4)</f>
        <v>0.72450000000000003</v>
      </c>
      <c r="C118" s="1033">
        <f>B118</f>
        <v>0.72450000000000003</v>
      </c>
      <c r="D118" s="1033">
        <f>ROUND(0.7043-0.012*B113,4)</f>
        <v>0.70069999999999999</v>
      </c>
      <c r="E118" s="1033">
        <f>D118</f>
        <v>0.70069999999999999</v>
      </c>
      <c r="F118" s="1033">
        <f>E118</f>
        <v>0.70069999999999999</v>
      </c>
      <c r="G118" s="1033">
        <f>ROUND(0.6299-0.0122*B113,4)</f>
        <v>0.62619999999999998</v>
      </c>
      <c r="H118" s="1033">
        <f>G118</f>
        <v>0.62619999999999998</v>
      </c>
      <c r="I118" s="1033">
        <f>ROUND(0.5667-0.0136*B113,4)</f>
        <v>0.56259999999999999</v>
      </c>
      <c r="J118" s="1033">
        <f t="shared" si="33"/>
        <v>0.56259999999999999</v>
      </c>
      <c r="K118" s="1033">
        <f t="shared" si="33"/>
        <v>0.56259999999999999</v>
      </c>
      <c r="L118" s="1033">
        <f t="shared" si="33"/>
        <v>0.56259999999999999</v>
      </c>
      <c r="M118" s="1034">
        <f t="shared" si="33"/>
        <v>0.56259999999999999</v>
      </c>
    </row>
  </sheetData>
  <sheetProtection password="C66D" sheet="1" objects="1" scenarios="1"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98" t="s">
        <v>2573</v>
      </c>
      <c r="C1" s="3498"/>
      <c r="D1" s="3498"/>
      <c r="E1" s="3498"/>
      <c r="F1" s="3498"/>
      <c r="G1" s="3497" t="s">
        <v>2574</v>
      </c>
      <c r="H1" s="3497"/>
      <c r="I1" s="3497"/>
      <c r="J1" s="3497"/>
      <c r="K1" s="3497"/>
      <c r="L1" s="3497"/>
      <c r="N1" s="3497" t="s">
        <v>2575</v>
      </c>
      <c r="O1" s="3497"/>
      <c r="P1" s="3497"/>
      <c r="Q1" s="3497"/>
      <c r="R1" s="2618"/>
      <c r="S1" s="3497" t="s">
        <v>2576</v>
      </c>
      <c r="T1" s="3497"/>
      <c r="U1" s="3497"/>
      <c r="V1" s="3497"/>
      <c r="X1" s="3496" t="s">
        <v>2636</v>
      </c>
      <c r="Y1" s="3497"/>
      <c r="Z1" s="3497"/>
      <c r="AA1" s="3497"/>
      <c r="AB1" s="3497"/>
      <c r="AD1" s="3496" t="s">
        <v>2640</v>
      </c>
      <c r="AE1" s="3497"/>
      <c r="AF1" s="3497"/>
      <c r="AG1" s="3497"/>
      <c r="AH1" s="3497"/>
    </row>
    <row r="2" spans="1:34" s="2719" customFormat="1" ht="14.25" thickBot="1">
      <c r="B2" s="2727" t="s">
        <v>2577</v>
      </c>
      <c r="C2" s="2727" t="s">
        <v>2638</v>
      </c>
      <c r="D2" s="2720" t="s">
        <v>1641</v>
      </c>
      <c r="E2" s="2720" t="s">
        <v>1946</v>
      </c>
      <c r="F2" s="2727" t="s">
        <v>2639</v>
      </c>
      <c r="G2" s="2723"/>
      <c r="H2" s="2722"/>
      <c r="I2" s="2727" t="s">
        <v>2952</v>
      </c>
      <c r="J2" s="2720" t="s">
        <v>2954</v>
      </c>
      <c r="K2" s="2720" t="s">
        <v>2955</v>
      </c>
      <c r="L2" s="2727" t="s">
        <v>2956</v>
      </c>
      <c r="N2" s="2727" t="s">
        <v>2577</v>
      </c>
      <c r="O2" s="2720" t="s">
        <v>2953</v>
      </c>
      <c r="P2" s="2720" t="s">
        <v>1946</v>
      </c>
      <c r="Q2" s="2727" t="s">
        <v>2639</v>
      </c>
      <c r="R2" s="2721"/>
      <c r="S2" s="2727" t="s">
        <v>2577</v>
      </c>
      <c r="T2" s="2720" t="s">
        <v>2953</v>
      </c>
      <c r="U2" s="2720" t="s">
        <v>1946</v>
      </c>
      <c r="V2" s="2727" t="s">
        <v>2639</v>
      </c>
      <c r="X2" s="2727" t="s">
        <v>2577</v>
      </c>
      <c r="Y2" s="2727" t="s">
        <v>2638</v>
      </c>
      <c r="Z2" s="2720" t="s">
        <v>1641</v>
      </c>
      <c r="AA2" s="2720" t="s">
        <v>1946</v>
      </c>
      <c r="AB2" s="2727" t="s">
        <v>2639</v>
      </c>
      <c r="AD2" s="2727" t="s">
        <v>2577</v>
      </c>
      <c r="AE2" s="2727" t="s">
        <v>2638</v>
      </c>
      <c r="AF2" s="2720" t="s">
        <v>1641</v>
      </c>
      <c r="AG2" s="2720" t="s">
        <v>1946</v>
      </c>
      <c r="AH2" s="2727" t="s">
        <v>2639</v>
      </c>
    </row>
    <row r="3" spans="1:34" s="3083" customFormat="1" ht="14.25">
      <c r="A3" s="3095" t="s">
        <v>2965</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ROUND(IF(项目基本情况!B8="出让",SUMPRODUCT(PRODUCT(1+N5:N$27)),SUMPRODUCT(PRODUCT(1+N5:N$26))),4)</f>
        <v>1.5880000000000001</v>
      </c>
      <c r="Y5" s="3070">
        <f>ROUND(IF(项目基本情况!B8="出让",SUMPRODUCT(PRODUCT(1+O5:O$27)),SUMPRODUCT(PRODUCT(1+O5:O$26))),4)</f>
        <v>1.3875999999999999</v>
      </c>
      <c r="Z5" s="3070">
        <f t="shared" ref="Z5" si="11">Y5</f>
        <v>1.3875999999999999</v>
      </c>
      <c r="AA5" s="3070">
        <f>ROUND(IF(项目基本情况!B8="出让",SUMPRODUCT(PRODUCT(1+P5:P$27)),SUMPRODUCT(PRODUCT(1+P5:P$26))),4)</f>
        <v>1.6563000000000001</v>
      </c>
      <c r="AB5" s="3070">
        <f>ROUND(IF(项目基本情况!B8="出让",SUMPRODUCT(PRODUCT(1+Q5:Q$27)),SUMPRODUCT(PRODUCT(1+Q5:Q$26))),4)</f>
        <v>1.3756999999999999</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6">
        <v>1.53</v>
      </c>
      <c r="J6" s="3186">
        <v>1.01</v>
      </c>
      <c r="K6" s="3186">
        <v>1.62</v>
      </c>
      <c r="L6" s="3187">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1.5880000000000001</v>
      </c>
      <c r="Y6" s="2717">
        <f>ROUND(IF(项目基本情况!B8="出让",SUMPRODUCT(PRODUCT(1+O6:O$27)),SUMPRODUCT(PRODUCT(1+O6:O$26))),4)</f>
        <v>1.3875999999999999</v>
      </c>
      <c r="Z6" s="2717">
        <f t="shared" ref="Z6" si="22">Y6</f>
        <v>1.3875999999999999</v>
      </c>
      <c r="AA6" s="2717">
        <f>ROUND(IF(项目基本情况!B8="出让",SUMPRODUCT(PRODUCT(1+P6:P$27)),SUMPRODUCT(PRODUCT(1+P6:P$26))),4)</f>
        <v>1.6563000000000001</v>
      </c>
      <c r="AB6" s="2717">
        <f>ROUND(IF(项目基本情况!B8="出让",SUMPRODUCT(PRODUCT(1+Q6:Q$27)),SUMPRODUCT(PRODUCT(1+Q6:Q$26))),4)</f>
        <v>1.3756999999999999</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1.5641</v>
      </c>
      <c r="Y7" s="2717">
        <f>ROUND(IF(项目基本情况!B8="出让",SUMPRODUCT(PRODUCT(1+O7:O$27)),SUMPRODUCT(PRODUCT(1+O7:O$26))),4)</f>
        <v>1.3736999999999999</v>
      </c>
      <c r="Z7" s="2717">
        <f t="shared" ref="Z7" si="32">Y7</f>
        <v>1.3736999999999999</v>
      </c>
      <c r="AA7" s="2717">
        <f>ROUND(IF(项目基本情况!B8="出让",SUMPRODUCT(PRODUCT(1+P7:P$27)),SUMPRODUCT(PRODUCT(1+P7:P$26))),4)</f>
        <v>1.6298999999999999</v>
      </c>
      <c r="AB7" s="2717">
        <f>ROUND(IF(项目基本情况!B8="出让",SUMPRODUCT(PRODUCT(1+Q7:Q$27)),SUMPRODUCT(PRODUCT(1+Q7:Q$26))),4)</f>
        <v>1.3588</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500">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500"/>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500"/>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506"/>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7">
        <v>439</v>
      </c>
      <c r="C12" s="3097">
        <v>327</v>
      </c>
      <c r="D12" s="3097">
        <f t="shared" si="65"/>
        <v>327</v>
      </c>
      <c r="E12" s="3097">
        <v>627</v>
      </c>
      <c r="F12" s="3098">
        <v>283</v>
      </c>
      <c r="G12" s="3505">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500"/>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500"/>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506"/>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967</v>
      </c>
      <c r="B16" s="2624">
        <v>392</v>
      </c>
      <c r="C16" s="2624">
        <v>302</v>
      </c>
      <c r="D16" s="2624">
        <f t="shared" si="65"/>
        <v>302</v>
      </c>
      <c r="E16" s="2624">
        <v>553</v>
      </c>
      <c r="F16" s="2625">
        <v>266</v>
      </c>
      <c r="G16" s="3505">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966</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500"/>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956</v>
      </c>
      <c r="B18" s="2632">
        <f t="shared" si="86"/>
        <v>360.06949782209392</v>
      </c>
      <c r="C18" s="2632">
        <f t="shared" si="86"/>
        <v>289.84672674747821</v>
      </c>
      <c r="D18" s="2632">
        <f t="shared" si="87"/>
        <v>289.84672674747821</v>
      </c>
      <c r="E18" s="2632">
        <f t="shared" si="88"/>
        <v>501.06543001181495</v>
      </c>
      <c r="F18" s="2632">
        <f t="shared" si="88"/>
        <v>256.82882500744967</v>
      </c>
      <c r="G18" s="3500"/>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965</v>
      </c>
      <c r="B19" s="2632">
        <f t="shared" si="86"/>
        <v>346.720748986128</v>
      </c>
      <c r="C19" s="2632">
        <f t="shared" si="86"/>
        <v>284.30282172386285</v>
      </c>
      <c r="D19" s="2632">
        <f t="shared" si="87"/>
        <v>284.30282172386285</v>
      </c>
      <c r="E19" s="2632">
        <f t="shared" si="88"/>
        <v>479.58023546306947</v>
      </c>
      <c r="F19" s="2632">
        <f t="shared" si="88"/>
        <v>253.25788877571213</v>
      </c>
      <c r="G19" s="3501"/>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964</v>
      </c>
      <c r="B20" s="2624">
        <v>333</v>
      </c>
      <c r="C20" s="2624">
        <v>277</v>
      </c>
      <c r="D20" s="2624">
        <f t="shared" si="87"/>
        <v>277</v>
      </c>
      <c r="E20" s="2624">
        <v>459</v>
      </c>
      <c r="F20" s="2625">
        <v>249</v>
      </c>
      <c r="G20" s="3499">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963</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500"/>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962</v>
      </c>
      <c r="B22" s="2632">
        <f t="shared" si="90"/>
        <v>322.34053690220776</v>
      </c>
      <c r="C22" s="2632">
        <f t="shared" si="90"/>
        <v>271.46160770422546</v>
      </c>
      <c r="D22" s="2632">
        <f t="shared" si="87"/>
        <v>271.46160770422546</v>
      </c>
      <c r="E22" s="2632">
        <f t="shared" si="91"/>
        <v>442.69434542172456</v>
      </c>
      <c r="F22" s="2632">
        <f t="shared" si="91"/>
        <v>241.34030753190925</v>
      </c>
      <c r="G22" s="3500"/>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961</v>
      </c>
      <c r="B23" s="2632">
        <f t="shared" si="90"/>
        <v>319.87748030386797</v>
      </c>
      <c r="C23" s="2632">
        <f t="shared" si="90"/>
        <v>269.60135833173649</v>
      </c>
      <c r="D23" s="2632">
        <f t="shared" si="87"/>
        <v>269.60135833173649</v>
      </c>
      <c r="E23" s="2632">
        <f t="shared" si="91"/>
        <v>439.18089823583784</v>
      </c>
      <c r="F23" s="2632">
        <f t="shared" si="91"/>
        <v>239.23503918706311</v>
      </c>
      <c r="G23" s="3501"/>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960</v>
      </c>
      <c r="B24" s="2646">
        <v>318</v>
      </c>
      <c r="C24" s="2646">
        <v>268</v>
      </c>
      <c r="D24" s="2646">
        <f t="shared" si="87"/>
        <v>268</v>
      </c>
      <c r="E24" s="2646">
        <v>437</v>
      </c>
      <c r="F24" s="2647">
        <v>237</v>
      </c>
      <c r="G24" s="3499">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959</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500"/>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958</v>
      </c>
      <c r="B26" s="2632">
        <f t="shared" si="92"/>
        <v>314.72141172386546</v>
      </c>
      <c r="C26" s="2632">
        <f t="shared" si="92"/>
        <v>263.03901319069001</v>
      </c>
      <c r="D26" s="2632">
        <f t="shared" si="87"/>
        <v>263.03901319069001</v>
      </c>
      <c r="E26" s="2632">
        <f t="shared" si="93"/>
        <v>433.65745506782821</v>
      </c>
      <c r="F26" s="2632">
        <f t="shared" si="93"/>
        <v>233.23005080045735</v>
      </c>
      <c r="G26" s="3500"/>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957</v>
      </c>
      <c r="B27" s="2651">
        <f t="shared" si="92"/>
        <v>307.34512863658733</v>
      </c>
      <c r="C27" s="2651">
        <f t="shared" si="92"/>
        <v>257.80556031626975</v>
      </c>
      <c r="D27" s="2651">
        <f t="shared" si="87"/>
        <v>257.80556031626975</v>
      </c>
      <c r="E27" s="2651">
        <f t="shared" si="93"/>
        <v>422.70928459677179</v>
      </c>
      <c r="F27" s="2651">
        <f t="shared" si="93"/>
        <v>229.73803270336617</v>
      </c>
      <c r="G27" s="3501"/>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2580</v>
      </c>
      <c r="B28" s="2624">
        <v>299</v>
      </c>
      <c r="C28" s="2624">
        <v>252</v>
      </c>
      <c r="D28" s="2624">
        <f t="shared" si="87"/>
        <v>252</v>
      </c>
      <c r="E28" s="2624">
        <v>409</v>
      </c>
      <c r="F28" s="2625">
        <v>227</v>
      </c>
      <c r="G28" s="3502">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503"/>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503"/>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504"/>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2584</v>
      </c>
      <c r="B32" s="2662">
        <v>278</v>
      </c>
      <c r="C32" s="2662">
        <v>234</v>
      </c>
      <c r="D32" s="2662">
        <f t="shared" si="87"/>
        <v>234</v>
      </c>
      <c r="E32" s="2662">
        <v>379</v>
      </c>
      <c r="F32" s="2663">
        <v>220</v>
      </c>
      <c r="G32" s="3499">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500"/>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500"/>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2587</v>
      </c>
      <c r="B35" s="2632">
        <f>B34/(1+N34)</f>
        <v>275.19025476197027</v>
      </c>
      <c r="C35" s="2664">
        <v>232</v>
      </c>
      <c r="D35" s="2664">
        <f t="shared" si="87"/>
        <v>232</v>
      </c>
      <c r="E35" s="2632">
        <f t="shared" si="98"/>
        <v>375.65990977608692</v>
      </c>
      <c r="F35" s="2632">
        <f t="shared" si="98"/>
        <v>214.12518283971252</v>
      </c>
      <c r="G35" s="3501"/>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2588</v>
      </c>
      <c r="B36" s="2624">
        <v>275</v>
      </c>
      <c r="C36" s="2624">
        <v>232</v>
      </c>
      <c r="D36" s="2624">
        <f t="shared" si="87"/>
        <v>232</v>
      </c>
      <c r="E36" s="2624">
        <v>376</v>
      </c>
      <c r="F36" s="2625">
        <v>213</v>
      </c>
      <c r="G36" s="3499">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500">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500">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501">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2592</v>
      </c>
      <c r="B40" s="2624">
        <v>269</v>
      </c>
      <c r="C40" s="2624">
        <v>221</v>
      </c>
      <c r="D40" s="2624">
        <f t="shared" si="87"/>
        <v>221</v>
      </c>
      <c r="E40" s="2624">
        <v>373</v>
      </c>
      <c r="F40" s="2625">
        <v>196</v>
      </c>
      <c r="G40" s="3499">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500">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500">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501">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2596</v>
      </c>
      <c r="B44" s="2624">
        <v>220</v>
      </c>
      <c r="C44" s="2624">
        <v>187</v>
      </c>
      <c r="D44" s="2624">
        <f t="shared" si="87"/>
        <v>187</v>
      </c>
      <c r="E44" s="2624">
        <v>301</v>
      </c>
      <c r="F44" s="2625">
        <v>168</v>
      </c>
      <c r="G44" s="3499">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500">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500">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501">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2600</v>
      </c>
      <c r="B48" s="2662">
        <v>214</v>
      </c>
      <c r="C48" s="2662">
        <v>188</v>
      </c>
      <c r="D48" s="2662">
        <f t="shared" si="87"/>
        <v>188</v>
      </c>
      <c r="E48" s="2662">
        <v>289</v>
      </c>
      <c r="F48" s="2663">
        <v>166</v>
      </c>
      <c r="G48" s="3499">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500">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500">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501">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2604</v>
      </c>
      <c r="B52" s="2624">
        <v>188</v>
      </c>
      <c r="C52" s="2624">
        <v>165</v>
      </c>
      <c r="D52" s="2624">
        <f t="shared" si="87"/>
        <v>165</v>
      </c>
      <c r="E52" s="2624">
        <v>254</v>
      </c>
      <c r="F52" s="2625">
        <v>148</v>
      </c>
      <c r="G52" s="3499">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500">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500">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501">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2608</v>
      </c>
      <c r="B56" s="2646">
        <v>159</v>
      </c>
      <c r="C56" s="2646">
        <v>141</v>
      </c>
      <c r="D56" s="2646">
        <f t="shared" si="87"/>
        <v>141</v>
      </c>
      <c r="E56" s="2646">
        <v>195</v>
      </c>
      <c r="F56" s="2647">
        <v>122</v>
      </c>
      <c r="G56" s="3499">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500">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500">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501">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2612</v>
      </c>
      <c r="B60" s="2646">
        <v>138</v>
      </c>
      <c r="C60" s="2646">
        <v>131</v>
      </c>
      <c r="D60" s="2646">
        <f t="shared" si="87"/>
        <v>131</v>
      </c>
      <c r="E60" s="2646">
        <v>155</v>
      </c>
      <c r="F60" s="2647">
        <v>114</v>
      </c>
      <c r="G60" s="3499">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500">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500">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501">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2616</v>
      </c>
      <c r="B64" s="2662">
        <v>121</v>
      </c>
      <c r="C64" s="2662">
        <v>122</v>
      </c>
      <c r="D64" s="2662">
        <f t="shared" si="87"/>
        <v>122</v>
      </c>
      <c r="E64" s="2662">
        <v>124</v>
      </c>
      <c r="F64" s="2663">
        <v>107</v>
      </c>
      <c r="G64" s="3499">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500">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500">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501">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2620</v>
      </c>
      <c r="B68" s="2683">
        <v>111</v>
      </c>
      <c r="C68" s="2683">
        <v>114</v>
      </c>
      <c r="D68" s="2683">
        <f t="shared" si="87"/>
        <v>114</v>
      </c>
      <c r="E68" s="2683">
        <v>108</v>
      </c>
      <c r="F68" s="2684">
        <v>104</v>
      </c>
      <c r="G68" s="3499">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500">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500">
        <v>2003</v>
      </c>
      <c r="H70" s="2623">
        <v>2</v>
      </c>
      <c r="I70" s="2685"/>
      <c r="J70" s="2685"/>
      <c r="K70" s="2685"/>
      <c r="L70" s="2685"/>
      <c r="X70" s="2677"/>
      <c r="Y70" s="2677"/>
      <c r="Z70" s="2677"/>
    </row>
    <row r="71" spans="1:26" ht="13.5" thickBot="1">
      <c r="A71" s="2619" t="s">
        <v>2623</v>
      </c>
      <c r="B71" s="2687">
        <f t="shared" si="123"/>
        <v>107.25</v>
      </c>
      <c r="C71" s="2687">
        <f t="shared" si="123"/>
        <v>108.75</v>
      </c>
      <c r="D71" s="2687">
        <f t="shared" si="87"/>
        <v>108.75</v>
      </c>
      <c r="E71" s="2687">
        <f t="shared" si="124"/>
        <v>105.75</v>
      </c>
      <c r="F71" s="2687">
        <f t="shared" si="124"/>
        <v>102.5</v>
      </c>
      <c r="G71" s="3501">
        <v>2003</v>
      </c>
      <c r="H71" s="2688">
        <v>1</v>
      </c>
      <c r="I71" s="2685"/>
      <c r="J71" s="2685"/>
      <c r="K71" s="2685"/>
      <c r="L71" s="2685"/>
      <c r="S71" s="2627"/>
      <c r="T71" s="2628"/>
      <c r="U71" s="2628"/>
      <c r="X71" s="2677"/>
      <c r="Y71" s="2677"/>
      <c r="Z71" s="2677"/>
    </row>
    <row r="72" spans="1:26" ht="13.5" thickBot="1">
      <c r="A72" s="2619" t="s">
        <v>2624</v>
      </c>
      <c r="B72" s="2689">
        <v>106</v>
      </c>
      <c r="C72" s="2689">
        <v>107</v>
      </c>
      <c r="D72" s="2689">
        <f t="shared" si="87"/>
        <v>107</v>
      </c>
      <c r="E72" s="2689">
        <v>105</v>
      </c>
      <c r="F72" s="2690">
        <v>102</v>
      </c>
      <c r="G72" s="3499">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500">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500">
        <v>2002</v>
      </c>
      <c r="H74" s="2623">
        <v>2</v>
      </c>
      <c r="I74" s="2685"/>
      <c r="J74" s="2685"/>
      <c r="K74" s="2685"/>
      <c r="L74" s="2685"/>
      <c r="X74" s="2677"/>
      <c r="Y74" s="2677"/>
      <c r="Z74" s="2677"/>
    </row>
    <row r="75" spans="1:26" s="2654" customFormat="1" ht="13.5" thickBot="1">
      <c r="A75" s="2650" t="s">
        <v>2627</v>
      </c>
      <c r="B75" s="2691">
        <f t="shared" si="125"/>
        <v>103</v>
      </c>
      <c r="C75" s="2691">
        <f t="shared" si="125"/>
        <v>104</v>
      </c>
      <c r="D75" s="2691">
        <f t="shared" si="87"/>
        <v>104</v>
      </c>
      <c r="E75" s="2691">
        <f t="shared" si="126"/>
        <v>103.5</v>
      </c>
      <c r="F75" s="2691">
        <f t="shared" si="126"/>
        <v>100.5</v>
      </c>
      <c r="G75" s="3501">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5"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56.25">
      <c r="A7" s="1780" t="s">
        <v>2744</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2946</v>
      </c>
      <c r="B1" s="3057"/>
      <c r="C1" s="3057"/>
      <c r="D1" s="3057"/>
      <c r="E1" s="3057"/>
      <c r="F1" s="3057"/>
    </row>
    <row r="2" spans="1:6" ht="14.25">
      <c r="A2" s="3058" t="s">
        <v>2941</v>
      </c>
      <c r="B2" s="3059">
        <f ca="1">SUMIF(B7:B14,"&lt;&gt;#ref!",B7:B14)</f>
        <v>0</v>
      </c>
      <c r="C2" s="3058" t="s">
        <v>2942</v>
      </c>
      <c r="D2" s="3057"/>
      <c r="E2" s="3057"/>
      <c r="F2" s="3057"/>
    </row>
    <row r="3" spans="1:6" ht="14.25">
      <c r="A3" s="3058" t="s">
        <v>2973</v>
      </c>
      <c r="B3" s="3059" t="e">
        <f ca="1">ROUND(B2*10000/E3,0)</f>
        <v>#DIV/0!</v>
      </c>
      <c r="C3" s="3058" t="s">
        <v>2075</v>
      </c>
      <c r="D3" s="3058" t="s">
        <v>2943</v>
      </c>
      <c r="E3" s="3059">
        <f ca="1">SUMIF(E7:E14,"&lt;&gt;#ref!",E7:E14)</f>
        <v>0</v>
      </c>
      <c r="F3" s="3057"/>
    </row>
    <row r="4" spans="1:6" ht="14.25">
      <c r="A4" s="3058" t="s">
        <v>2949</v>
      </c>
      <c r="B4" s="3059">
        <f ca="1">ROUND(B2*10000/E4,0)</f>
        <v>0</v>
      </c>
      <c r="C4" s="3058" t="s">
        <v>2075</v>
      </c>
      <c r="D4" s="3058" t="s">
        <v>2950</v>
      </c>
      <c r="E4" s="3059">
        <f ca="1">SUMIF(F7:F14,"&lt;&gt;#ref!",F7:F14)</f>
        <v>40700</v>
      </c>
      <c r="F4" s="3057"/>
    </row>
    <row r="5" spans="1:6" ht="14.25">
      <c r="A5" s="3060"/>
      <c r="B5" s="1866"/>
      <c r="C5" s="1866"/>
      <c r="D5" s="1866"/>
      <c r="E5" s="1866"/>
      <c r="F5" s="3057"/>
    </row>
    <row r="6" spans="1:6" ht="28.5">
      <c r="A6" s="3061" t="s">
        <v>2947</v>
      </c>
      <c r="B6" s="3058" t="s">
        <v>2944</v>
      </c>
      <c r="C6" s="3059"/>
      <c r="D6" s="1866"/>
      <c r="E6" s="3058" t="s">
        <v>2945</v>
      </c>
      <c r="F6" s="3058" t="s">
        <v>2948</v>
      </c>
    </row>
    <row r="7" spans="1:6" ht="14.25">
      <c r="A7" s="259" t="s">
        <v>2993</v>
      </c>
      <c r="B7" s="3062">
        <f ca="1">SUMIF(INDIRECT("'"&amp;A7&amp;"'"&amp;"!A:A"),"总价",INDIRECT("'"&amp;A7&amp;"'"&amp;"!B:B"))</f>
        <v>0</v>
      </c>
      <c r="C7" s="3058" t="s">
        <v>2942</v>
      </c>
      <c r="D7" s="1866"/>
      <c r="E7" s="3063">
        <f ca="1">SUMIF(INDIRECT("'"&amp;A7&amp;"'"&amp;"!C:C"),"建筑面积",INDIRECT("'"&amp;A7&amp;"'"&amp;"!D:D"))</f>
        <v>0</v>
      </c>
      <c r="F7" s="3063">
        <f ca="1">SUMIF(INDIRECT("'"&amp;A7&amp;"'"&amp;"!E:E"),"土地面积",INDIRECT("'"&amp;A7&amp;"'"&amp;"!F:F"))</f>
        <v>40700</v>
      </c>
    </row>
    <row r="8" spans="1:6" ht="14.25">
      <c r="A8" s="259"/>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2942</v>
      </c>
      <c r="D9" s="1866"/>
      <c r="E9" s="3063" t="e">
        <f t="shared" ca="1" si="1"/>
        <v>#REF!</v>
      </c>
      <c r="F9" s="3063" t="e">
        <f t="shared" ca="1" si="2"/>
        <v>#REF!</v>
      </c>
    </row>
    <row r="10" spans="1:6" ht="14.25">
      <c r="A10" s="259"/>
      <c r="B10" s="3062" t="e">
        <f t="shared" ca="1" si="0"/>
        <v>#REF!</v>
      </c>
      <c r="C10" s="3058" t="s">
        <v>2942</v>
      </c>
      <c r="D10" s="1866"/>
      <c r="E10" s="3063" t="e">
        <f t="shared" ca="1" si="1"/>
        <v>#REF!</v>
      </c>
      <c r="F10" s="3063" t="e">
        <f t="shared" ca="1" si="2"/>
        <v>#REF!</v>
      </c>
    </row>
    <row r="11" spans="1:6" ht="14.25">
      <c r="A11" s="259"/>
      <c r="B11" s="3062" t="e">
        <f t="shared" ca="1" si="0"/>
        <v>#REF!</v>
      </c>
      <c r="C11" s="3058" t="s">
        <v>2942</v>
      </c>
      <c r="D11" s="1866"/>
      <c r="E11" s="3063" t="e">
        <f t="shared" ca="1" si="1"/>
        <v>#REF!</v>
      </c>
      <c r="F11" s="3063" t="e">
        <f t="shared" ca="1" si="2"/>
        <v>#REF!</v>
      </c>
    </row>
    <row r="12" spans="1:6" ht="14.25">
      <c r="A12" s="259"/>
      <c r="B12" s="3062" t="e">
        <f t="shared" ca="1" si="0"/>
        <v>#REF!</v>
      </c>
      <c r="C12" s="3058" t="s">
        <v>2942</v>
      </c>
      <c r="D12" s="1866"/>
      <c r="E12" s="3063" t="e">
        <f t="shared" ca="1" si="1"/>
        <v>#REF!</v>
      </c>
      <c r="F12" s="3063" t="e">
        <f t="shared" ca="1" si="2"/>
        <v>#REF!</v>
      </c>
    </row>
    <row r="13" spans="1:6" ht="14.25">
      <c r="A13" s="259"/>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3" sqref="J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625</v>
      </c>
      <c r="B1" s="737"/>
      <c r="C1" s="772"/>
      <c r="D1" s="2035"/>
      <c r="E1" s="2351" t="s">
        <v>2371</v>
      </c>
      <c r="F1" s="2352">
        <f ca="1">J54</f>
        <v>-2</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626</v>
      </c>
      <c r="B2" s="774">
        <f ca="1">IF(ISERROR(C45+J31),0,C45+J31)</f>
        <v>0</v>
      </c>
      <c r="C2" s="1346"/>
      <c r="D2" s="2040"/>
      <c r="E2" s="2041"/>
      <c r="F2" s="2041"/>
      <c r="G2" s="1576"/>
      <c r="H2" s="1358"/>
      <c r="I2" s="2042"/>
      <c r="J2" s="2042"/>
      <c r="K2" s="2043"/>
      <c r="L2" s="2042"/>
      <c r="M2" s="2042"/>
    </row>
    <row r="3" spans="1:25" ht="18" customHeight="1">
      <c r="A3" s="1630" t="s">
        <v>1683</v>
      </c>
      <c r="B3" s="1387">
        <f ca="1">ROUND(B2*10000/'数据-汇总表'!E3,0)</f>
        <v>0</v>
      </c>
      <c r="C3" s="1346"/>
      <c r="D3" s="2040"/>
      <c r="E3" s="2041"/>
      <c r="F3" s="2041"/>
      <c r="G3" s="1576"/>
      <c r="H3" s="775" t="s">
        <v>692</v>
      </c>
      <c r="I3" s="2042"/>
      <c r="J3" s="2042"/>
      <c r="K3" s="2043"/>
      <c r="L3" s="2042"/>
      <c r="M3" s="2042"/>
    </row>
    <row r="4" spans="1:25" ht="18" customHeight="1">
      <c r="A4" s="1631" t="s">
        <v>693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694</v>
      </c>
      <c r="D5" s="2040"/>
      <c r="E5" s="2041"/>
      <c r="F5" s="2041"/>
      <c r="G5" s="1576"/>
      <c r="H5" s="775"/>
      <c r="I5" s="2042"/>
      <c r="J5" s="2042"/>
      <c r="K5" s="2043"/>
      <c r="L5" s="2042"/>
      <c r="M5" s="2042"/>
    </row>
    <row r="6" spans="1:25" ht="18" customHeight="1">
      <c r="A6" s="1813" t="s">
        <v>695</v>
      </c>
      <c r="B6" s="1805" t="s">
        <v>696</v>
      </c>
      <c r="C6" s="1805" t="s">
        <v>629</v>
      </c>
      <c r="D6" s="1805" t="s">
        <v>630</v>
      </c>
      <c r="E6" s="778" t="s">
        <v>631</v>
      </c>
      <c r="F6" s="779"/>
      <c r="G6" s="1578"/>
      <c r="H6" s="1813" t="s">
        <v>627</v>
      </c>
      <c r="I6" s="1805" t="s">
        <v>628</v>
      </c>
      <c r="J6" s="1805" t="s">
        <v>629</v>
      </c>
      <c r="K6" s="1805" t="s">
        <v>630</v>
      </c>
      <c r="L6" s="778" t="s">
        <v>631</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1821</v>
      </c>
      <c r="B8" s="3508" t="s">
        <v>2460</v>
      </c>
      <c r="C8" s="1810">
        <f ca="1">ROUND(F8*F10*F9*(1-F11)/10000,0)</f>
        <v>0</v>
      </c>
      <c r="D8" s="1807" t="s">
        <v>2531</v>
      </c>
      <c r="E8" s="61" t="s">
        <v>634</v>
      </c>
      <c r="F8" s="784">
        <f ca="1">INDIRECT("'数据-取费表'!u"&amp;$G$1)</f>
        <v>0</v>
      </c>
      <c r="G8" s="1578"/>
      <c r="H8" s="2468" t="s">
        <v>1821</v>
      </c>
      <c r="I8" s="3508" t="s">
        <v>2460</v>
      </c>
      <c r="J8" s="782">
        <f ca="1">ROUND(M8*M10*M9*(1-M11)/10000,0)</f>
        <v>0</v>
      </c>
      <c r="K8" s="340" t="s">
        <v>2531</v>
      </c>
      <c r="L8" s="783" t="s">
        <v>1735</v>
      </c>
      <c r="M8" s="784">
        <f ca="1">INDIRECT("'数据-取费表'!z"&amp;$G$1)</f>
        <v>0</v>
      </c>
    </row>
    <row r="9" spans="1:25" ht="18" customHeight="1">
      <c r="A9" s="2464"/>
      <c r="B9" s="3509"/>
      <c r="C9" s="1811"/>
      <c r="D9" s="1808"/>
      <c r="E9" s="61" t="s">
        <v>635</v>
      </c>
      <c r="F9" s="784">
        <f ca="1">IF(INDIRECT("'数据-取费表'!ah"&amp;$G$1)="",INDIRECT("'数据-取费表'!k"&amp;$G$1),INDIRECT("'数据-取费表'!ah"&amp;$G$1))</f>
        <v>0</v>
      </c>
      <c r="G9" s="1578"/>
      <c r="H9" s="2453"/>
      <c r="I9" s="3509"/>
      <c r="J9" s="787"/>
      <c r="K9" s="788"/>
      <c r="L9" s="783" t="s">
        <v>1736</v>
      </c>
      <c r="M9" s="784">
        <f ca="1">F9</f>
        <v>0</v>
      </c>
    </row>
    <row r="10" spans="1:25" ht="18" customHeight="1">
      <c r="A10" s="2457"/>
      <c r="B10" s="3510"/>
      <c r="C10" s="1811"/>
      <c r="D10" s="1808"/>
      <c r="E10" s="61" t="s">
        <v>636</v>
      </c>
      <c r="F10" s="784">
        <f ca="1">INDIRECT("'数据-取费表'!ai"&amp;$G$1)</f>
        <v>0</v>
      </c>
      <c r="G10" s="1578"/>
      <c r="H10" s="2453"/>
      <c r="I10" s="3510"/>
      <c r="J10" s="787"/>
      <c r="K10" s="788"/>
      <c r="L10" s="783" t="s">
        <v>1737</v>
      </c>
      <c r="M10" s="784">
        <f ca="1">INDIRECT("'数据-取费表'!ai"&amp;$G$1)</f>
        <v>0</v>
      </c>
    </row>
    <row r="11" spans="1:25" ht="18" customHeight="1">
      <c r="A11" s="785"/>
      <c r="B11" s="3511"/>
      <c r="C11" s="1811"/>
      <c r="D11" s="1808"/>
      <c r="E11" s="61" t="s">
        <v>637</v>
      </c>
      <c r="F11" s="793">
        <f ca="1">INDIRECT("'数据-取费表'!w"&amp;$G$1)</f>
        <v>0</v>
      </c>
      <c r="G11" s="1578"/>
      <c r="H11" s="2469"/>
      <c r="I11" s="3510"/>
      <c r="J11" s="787"/>
      <c r="K11" s="788"/>
      <c r="L11" s="794" t="s">
        <v>1738</v>
      </c>
      <c r="M11" s="795">
        <f ca="1">INDIRECT("'数据-取费表'!ab"&amp;$G$1)</f>
        <v>0</v>
      </c>
    </row>
    <row r="12" spans="1:25" ht="18" customHeight="1">
      <c r="A12" s="1815" t="s">
        <v>1822</v>
      </c>
      <c r="B12" s="2458" t="s">
        <v>2456</v>
      </c>
      <c r="C12" s="798">
        <f ca="1">ROUND(IF(F12="押一",C8/12*F13,IF(F12="押二",C8/12*2*F13,IF(F12="押三",C8/12*3*F13,C13*F13))),0)</f>
        <v>0</v>
      </c>
      <c r="D12" s="2465" t="s">
        <v>2970</v>
      </c>
      <c r="E12" s="2462" t="s">
        <v>2461</v>
      </c>
      <c r="F12" s="2585"/>
      <c r="G12" s="1578"/>
      <c r="H12" s="2525" t="s">
        <v>1822</v>
      </c>
      <c r="I12" s="2530" t="s">
        <v>2456</v>
      </c>
      <c r="J12" s="782">
        <f ca="1">ROUND(IF(M12="押一",J8/12*M13,IF(M12="押二",J8/12*2*M13,IF(M12="押三",J8/12*3*M13,J13*M13))),0)</f>
        <v>0</v>
      </c>
      <c r="K12" s="2465" t="s">
        <v>2970</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1871</v>
      </c>
      <c r="B15" s="1812" t="s">
        <v>638</v>
      </c>
      <c r="C15" s="791">
        <f ca="1">ROUND(C31*F15,0)</f>
        <v>0</v>
      </c>
      <c r="D15" s="1819" t="s">
        <v>639</v>
      </c>
      <c r="E15" s="794" t="s">
        <v>640</v>
      </c>
      <c r="F15" s="799">
        <f ca="1">INDIRECT("'数据-取费表'!y"&amp;$G$1)</f>
        <v>0</v>
      </c>
      <c r="G15" s="1578"/>
      <c r="H15" s="1814" t="s">
        <v>1823</v>
      </c>
      <c r="I15" s="1812" t="s">
        <v>641</v>
      </c>
      <c r="J15" s="1804">
        <f ca="1">ROUND(J16*J17,0)</f>
        <v>0</v>
      </c>
      <c r="K15" s="1806" t="s">
        <v>639</v>
      </c>
      <c r="L15" s="800"/>
      <c r="M15" s="801"/>
    </row>
    <row r="16" spans="1:25" ht="18" customHeight="1">
      <c r="A16" s="802" t="s">
        <v>1872</v>
      </c>
      <c r="B16" s="783" t="s">
        <v>642</v>
      </c>
      <c r="C16" s="803">
        <f ca="1">INDIRECT("'数据-取费表'!m"&amp;$G$1)+INDIRECT("'数据-取费表'!t"&amp;$G$1)</f>
        <v>0</v>
      </c>
      <c r="D16" s="1964" t="s">
        <v>643</v>
      </c>
      <c r="E16" s="1965"/>
      <c r="F16" s="804"/>
      <c r="G16" s="1578"/>
      <c r="H16" s="802" t="s">
        <v>2066</v>
      </c>
      <c r="I16" s="2216" t="s">
        <v>2821</v>
      </c>
      <c r="J16" s="53">
        <f ca="1">C31</f>
        <v>0</v>
      </c>
      <c r="K16" s="26"/>
      <c r="L16" s="800"/>
      <c r="M16" s="801"/>
    </row>
    <row r="17" spans="1:25" s="2049" customFormat="1" ht="18" customHeight="1">
      <c r="A17" s="802" t="s">
        <v>1846</v>
      </c>
      <c r="B17" s="783" t="s">
        <v>644</v>
      </c>
      <c r="C17" s="53">
        <f ca="1">ROUND(C16*F17,0)</f>
        <v>0</v>
      </c>
      <c r="D17" s="805" t="s">
        <v>645</v>
      </c>
      <c r="E17" s="805" t="s">
        <v>646</v>
      </c>
      <c r="F17" s="806">
        <f>'数据-取费表'!B33</f>
        <v>0.03</v>
      </c>
      <c r="G17" s="1579"/>
      <c r="H17" s="802" t="s">
        <v>2067</v>
      </c>
      <c r="I17" s="783" t="s">
        <v>640</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78"/>
      <c r="H18" s="796" t="s">
        <v>1824</v>
      </c>
      <c r="I18" s="797" t="s">
        <v>648</v>
      </c>
      <c r="J18" s="798">
        <f ca="1">ROUND(J19+J24+J25+J26,0)</f>
        <v>0</v>
      </c>
      <c r="K18" s="26" t="s">
        <v>649</v>
      </c>
      <c r="L18" s="1967"/>
      <c r="M18" s="56"/>
    </row>
    <row r="19" spans="1:25" s="2049" customFormat="1" ht="18" customHeight="1">
      <c r="A19" s="802" t="s">
        <v>1848</v>
      </c>
      <c r="B19" s="783" t="s">
        <v>650</v>
      </c>
      <c r="C19" s="53">
        <f ca="1">ROUND(F19*(INDIRECT("'数据-取费表'!k"&amp;$G$1)+INDIRECT("'数据-取费表'!S"&amp;$G$1))/10000,0)</f>
        <v>0</v>
      </c>
      <c r="D19" s="783" t="s">
        <v>651</v>
      </c>
      <c r="E19" s="783" t="s">
        <v>652</v>
      </c>
      <c r="F19" s="56">
        <f>'数据-取费表'!B35</f>
        <v>200</v>
      </c>
      <c r="G19" s="1579"/>
      <c r="H19" s="802" t="s">
        <v>2066</v>
      </c>
      <c r="I19" s="783" t="s">
        <v>653</v>
      </c>
      <c r="J19" s="53">
        <f ca="1">ROUND(IF(项目基本情况!B11="自然人",J8*M19/(1+'数据-取费表'!C42),J20+J21+J22),0)</f>
        <v>0</v>
      </c>
      <c r="K19" s="1964" t="s">
        <v>654</v>
      </c>
      <c r="L19" s="1962" t="s">
        <v>655</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1849</v>
      </c>
      <c r="B20" s="783" t="s">
        <v>656</v>
      </c>
      <c r="C20" s="53">
        <f ca="1">ROUND(C16*F20,0)</f>
        <v>0</v>
      </c>
      <c r="D20" s="783" t="s">
        <v>645</v>
      </c>
      <c r="E20" s="783" t="s">
        <v>646</v>
      </c>
      <c r="F20" s="808">
        <f>'数据-取费表'!B36</f>
        <v>1.4999999999999999E-2</v>
      </c>
      <c r="G20" s="1579"/>
      <c r="H20" s="802" t="s">
        <v>1828</v>
      </c>
      <c r="I20" s="783" t="s">
        <v>657</v>
      </c>
      <c r="J20" s="53">
        <f ca="1">ROUND(J8*M20/(1+'数据-取费表'!C42),1)</f>
        <v>0</v>
      </c>
      <c r="K20" s="1962" t="s">
        <v>658</v>
      </c>
      <c r="L20" s="783" t="s">
        <v>646</v>
      </c>
      <c r="M20" s="808">
        <f>'数据-取费表'!B41</f>
        <v>5.5000000000000007E-2</v>
      </c>
      <c r="N20" s="2048"/>
      <c r="O20" s="2048"/>
      <c r="P20" s="2048"/>
      <c r="Q20" s="2048"/>
      <c r="R20" s="2048"/>
      <c r="S20" s="2048"/>
      <c r="T20" s="2048"/>
      <c r="U20" s="2048"/>
      <c r="V20" s="2048"/>
      <c r="W20" s="2048"/>
      <c r="X20" s="2048"/>
      <c r="Y20" s="2048"/>
    </row>
    <row r="21" spans="1:25" ht="18" customHeight="1">
      <c r="A21" s="802" t="s">
        <v>1873</v>
      </c>
      <c r="B21" s="783" t="s">
        <v>659</v>
      </c>
      <c r="C21" s="53">
        <f ca="1">SUM(C16:C20)</f>
        <v>0</v>
      </c>
      <c r="D21" s="260" t="s">
        <v>660</v>
      </c>
      <c r="E21" s="1967"/>
      <c r="F21" s="56"/>
      <c r="G21" s="1578"/>
      <c r="H21" s="1815" t="s">
        <v>1846</v>
      </c>
      <c r="I21" s="783" t="s">
        <v>661</v>
      </c>
      <c r="J21" s="53">
        <f ca="1">IF(K21="按租金收入计税",ROUND(J8*M21/(1+'数据-取费表'!C42),1),ROUND(C31*F35*0.7,1))</f>
        <v>0</v>
      </c>
      <c r="K21" s="810" t="s">
        <v>662</v>
      </c>
      <c r="L21" s="783" t="s">
        <v>646</v>
      </c>
      <c r="M21" s="808">
        <f>IF(K21="按租金收入计税",'数据-取费表'!B51,'数据-取费表'!B50)</f>
        <v>1.2E-2</v>
      </c>
    </row>
    <row r="22" spans="1:25" s="2049" customFormat="1" ht="18" customHeight="1">
      <c r="A22" s="802" t="s">
        <v>1874</v>
      </c>
      <c r="B22" s="783" t="s">
        <v>663</v>
      </c>
      <c r="C22" s="53">
        <f ca="1">ROUND(C21*F22,0)</f>
        <v>0</v>
      </c>
      <c r="D22" s="811" t="s">
        <v>664</v>
      </c>
      <c r="E22" s="783" t="s">
        <v>646</v>
      </c>
      <c r="F22" s="808">
        <f>'数据-取费表'!B37</f>
        <v>0.02</v>
      </c>
      <c r="G22" s="1579"/>
      <c r="H22" s="1817" t="s">
        <v>1847</v>
      </c>
      <c r="I22" s="1807" t="s">
        <v>665</v>
      </c>
      <c r="J22" s="54">
        <f ca="1">ROUND(M22*M23/10000,0)</f>
        <v>0</v>
      </c>
      <c r="K22" s="813" t="s">
        <v>666</v>
      </c>
      <c r="L22" s="783" t="s">
        <v>667</v>
      </c>
      <c r="M22" s="639">
        <f>'数据-取费表'!B52</f>
        <v>1.5</v>
      </c>
      <c r="N22" s="2048"/>
      <c r="O22" s="2048"/>
      <c r="P22" s="2048"/>
      <c r="Q22" s="2048"/>
      <c r="R22" s="2048"/>
      <c r="S22" s="2048"/>
      <c r="T22" s="2048"/>
      <c r="U22" s="2048"/>
      <c r="V22" s="2048"/>
      <c r="W22" s="2048"/>
      <c r="X22" s="2048"/>
      <c r="Y22" s="2048"/>
    </row>
    <row r="23" spans="1:25" s="2049" customFormat="1" ht="18" customHeight="1">
      <c r="A23" s="802" t="s">
        <v>1875</v>
      </c>
      <c r="B23" s="783" t="s">
        <v>668</v>
      </c>
      <c r="C23" s="53" t="s">
        <v>1</v>
      </c>
      <c r="D23" s="811" t="s">
        <v>669</v>
      </c>
      <c r="E23" s="783" t="s">
        <v>670</v>
      </c>
      <c r="F23" s="808">
        <f>'数据-取费表'!B38</f>
        <v>0.02</v>
      </c>
      <c r="G23" s="1579"/>
      <c r="H23" s="1818"/>
      <c r="I23" s="1809"/>
      <c r="J23" s="69"/>
      <c r="K23" s="815"/>
      <c r="L23" s="783" t="s">
        <v>671</v>
      </c>
      <c r="M23" s="784">
        <f ca="1">INDIRECT("'数据-取费表'!r"&amp;$G$1)</f>
        <v>0</v>
      </c>
      <c r="N23" s="2048"/>
      <c r="O23" s="2048"/>
      <c r="P23" s="2048"/>
      <c r="Q23" s="2048"/>
      <c r="R23" s="2048"/>
      <c r="S23" s="2048"/>
      <c r="T23" s="2048"/>
      <c r="U23" s="2048"/>
      <c r="V23" s="2048"/>
      <c r="W23" s="2048"/>
      <c r="X23" s="2048"/>
      <c r="Y23" s="2048"/>
    </row>
    <row r="24" spans="1:25" ht="18" customHeight="1">
      <c r="A24" s="802" t="s">
        <v>1876</v>
      </c>
      <c r="B24" s="783" t="s">
        <v>672</v>
      </c>
      <c r="C24" s="53"/>
      <c r="D24" s="2536" t="str">
        <f>IF(F25&lt;=1,"单利计息。","复利计息。")&amp;"建造成本、管理费用、销售费用产生的利息。"</f>
        <v>复利计息。建造成本、管理费用、销售费用产生的利息。</v>
      </c>
      <c r="E24" s="1967"/>
      <c r="F24" s="56"/>
      <c r="G24" s="1578"/>
      <c r="H24" s="1816" t="s">
        <v>2067</v>
      </c>
      <c r="I24" s="783" t="s">
        <v>673</v>
      </c>
      <c r="J24" s="53">
        <f ca="1">ROUND(J16*M24,0)</f>
        <v>0</v>
      </c>
      <c r="K24" s="1962" t="s">
        <v>674</v>
      </c>
      <c r="L24" s="783" t="s">
        <v>646</v>
      </c>
      <c r="M24" s="816">
        <f ca="1">INDIRECT("'数据-取费表'!Ak"&amp;$G$1)</f>
        <v>0</v>
      </c>
    </row>
    <row r="25" spans="1:25" s="2049" customFormat="1" ht="18" customHeight="1">
      <c r="A25" s="802" t="s">
        <v>1872</v>
      </c>
      <c r="B25" s="783" t="s">
        <v>2434</v>
      </c>
      <c r="C25" s="53">
        <f ca="1">ROUND(IF('数据-取费表'!B22&lt;=1,(C21+C22)*F26*F25/2,(C21+C22)*(POWER((1+F26),F25/2)-1)),0)</f>
        <v>0</v>
      </c>
      <c r="D25" s="2535" t="str">
        <f>IF(F25&lt;=1,"(建造成本+管理费用)×利率×(建设周期÷2)","(建造成本+管理费用)×((1+利率)^(建设周期÷2)-1)")</f>
        <v>(建造成本+管理费用)×((1+利率)^(建设周期÷2)-1)</v>
      </c>
      <c r="E25" s="783" t="s">
        <v>675</v>
      </c>
      <c r="F25" s="639">
        <f>'数据-取费表'!B20</f>
        <v>2</v>
      </c>
      <c r="G25" s="1579"/>
      <c r="H25" s="802" t="s">
        <v>1875</v>
      </c>
      <c r="I25" s="783" t="s">
        <v>676</v>
      </c>
      <c r="J25" s="53">
        <f ca="1">ROUND(J15*M25,0)</f>
        <v>0</v>
      </c>
      <c r="K25" s="1962" t="s">
        <v>677</v>
      </c>
      <c r="L25" s="783" t="s">
        <v>646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1846</v>
      </c>
      <c r="B26" s="783" t="s">
        <v>678</v>
      </c>
      <c r="C26" s="53">
        <f ca="1">ROUND(IF('数据-取费表'!B22&lt;=1,F23*F26*F25/2,F23*(POWER((1+F26),F25/2)-1)),4)</f>
        <v>1E-3</v>
      </c>
      <c r="D26" s="2535" t="str">
        <f>IF(F25&lt;=1,"销售费用×利率×(建设周期÷2)","销售费用×((1+利率)^(建设周期÷2)-1)")</f>
        <v>销售费用×((1+利率)^(建设周期÷2)-1)</v>
      </c>
      <c r="E26" s="783" t="s">
        <v>679</v>
      </c>
      <c r="F26" s="818">
        <f ca="1">'数据-取费表'!B40</f>
        <v>4.7500000000000001E-2</v>
      </c>
      <c r="G26" s="1579"/>
      <c r="H26" s="802" t="s">
        <v>1876</v>
      </c>
      <c r="I26" s="783" t="s">
        <v>663</v>
      </c>
      <c r="J26" s="53">
        <f ca="1">ROUND(J7*M26,0)</f>
        <v>0</v>
      </c>
      <c r="K26" s="1962" t="s">
        <v>680</v>
      </c>
      <c r="L26" s="783" t="s">
        <v>646</v>
      </c>
      <c r="M26" s="793">
        <f ca="1">INDIRECT("'数据-取费表'!Am"&amp;$G$1)</f>
        <v>0</v>
      </c>
      <c r="N26" s="2048"/>
      <c r="O26" s="2048"/>
      <c r="P26" s="2048"/>
      <c r="Q26" s="2048"/>
      <c r="R26" s="2048"/>
      <c r="S26" s="2048"/>
      <c r="T26" s="2048"/>
      <c r="U26" s="2048"/>
      <c r="V26" s="2048"/>
      <c r="W26" s="2048"/>
      <c r="X26" s="2048"/>
      <c r="Y26" s="2048"/>
    </row>
    <row r="27" spans="1:25" ht="18" customHeight="1">
      <c r="A27" s="802" t="s">
        <v>1878</v>
      </c>
      <c r="B27" s="783" t="s">
        <v>681</v>
      </c>
      <c r="C27" s="53"/>
      <c r="D27" s="260" t="s">
        <v>682</v>
      </c>
      <c r="E27" s="1967"/>
      <c r="F27" s="56"/>
      <c r="G27" s="1578"/>
      <c r="H27" s="796" t="s">
        <v>1825</v>
      </c>
      <c r="I27" s="2963" t="s">
        <v>2818</v>
      </c>
      <c r="J27" s="798">
        <f ca="1">J7-J18</f>
        <v>0</v>
      </c>
      <c r="K27" s="1964" t="s">
        <v>697</v>
      </c>
      <c r="L27" s="1966"/>
      <c r="M27" s="819"/>
    </row>
    <row r="28" spans="1:25" ht="18" customHeight="1">
      <c r="A28" s="802" t="s">
        <v>1872</v>
      </c>
      <c r="B28" s="783" t="s">
        <v>2435</v>
      </c>
      <c r="C28" s="53">
        <f ca="1">ROUND((C21+C22)*F28,0)</f>
        <v>0</v>
      </c>
      <c r="D28" s="811" t="s">
        <v>698</v>
      </c>
      <c r="E28" s="794" t="s">
        <v>699</v>
      </c>
      <c r="F28" s="793">
        <f ca="1">INDIRECT("'数据-取费表'!q"&amp;$G$1)</f>
        <v>0</v>
      </c>
      <c r="G28" s="1578"/>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78"/>
      <c r="H29" s="785"/>
      <c r="I29" s="786"/>
      <c r="J29" s="787"/>
      <c r="K29" s="820" t="s">
        <v>704</v>
      </c>
      <c r="L29" s="783" t="s">
        <v>705</v>
      </c>
      <c r="M29" s="821">
        <f ca="1">INDIRECT("'数据-取费表'!ag"&amp;$G$1)</f>
        <v>0</v>
      </c>
    </row>
    <row r="30" spans="1:25" s="2049" customFormat="1" ht="18" customHeight="1">
      <c r="A30" s="802" t="s">
        <v>1879</v>
      </c>
      <c r="B30" s="783" t="s">
        <v>684</v>
      </c>
      <c r="C30" s="53">
        <f>ROUND(F30/(1+'数据-取费表'!C42),4)</f>
        <v>5.2400000000000002E-2</v>
      </c>
      <c r="D30" s="811" t="s">
        <v>706</v>
      </c>
      <c r="E30" s="783" t="s">
        <v>646</v>
      </c>
      <c r="F30" s="808">
        <f>'数据-取费表'!B41</f>
        <v>5.5000000000000007E-2</v>
      </c>
      <c r="G30" s="1579"/>
      <c r="H30" s="789"/>
      <c r="I30" s="790"/>
      <c r="J30" s="791"/>
      <c r="K30" s="815"/>
      <c r="L30" s="783" t="s">
        <v>707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1880</v>
      </c>
      <c r="B31" s="2505" t="s">
        <v>2819</v>
      </c>
      <c r="C31" s="2508">
        <f ca="1">ROUND((C21+C22+C25+C28)/(1-F23-C26-C29-C30),0)</f>
        <v>0</v>
      </c>
      <c r="D31" s="2509"/>
      <c r="E31" s="2510"/>
      <c r="F31" s="2511"/>
      <c r="G31" s="1579"/>
      <c r="H31" s="822" t="s">
        <v>1869</v>
      </c>
      <c r="I31" s="2964" t="s">
        <v>2820</v>
      </c>
      <c r="J31" s="824">
        <f ca="1">ROUND(J28/(1+F45)^F46,0)</f>
        <v>0</v>
      </c>
      <c r="K31" s="825" t="s">
        <v>685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686</v>
      </c>
      <c r="C32" s="791">
        <f ca="1">ROUND(C33+C38+C39+C40,0)</f>
        <v>0</v>
      </c>
      <c r="D32" s="1806" t="s">
        <v>649</v>
      </c>
      <c r="E32" s="2451"/>
      <c r="F32" s="2455"/>
      <c r="G32" s="2047"/>
      <c r="H32" s="2050"/>
      <c r="I32" s="2051"/>
      <c r="J32" s="2052"/>
      <c r="K32" s="2053"/>
      <c r="L32" s="2054"/>
      <c r="M32" s="2055"/>
    </row>
    <row r="33" spans="1:18" ht="18" customHeight="1">
      <c r="A33" s="802" t="s">
        <v>1873</v>
      </c>
      <c r="B33" s="783" t="s">
        <v>653</v>
      </c>
      <c r="C33" s="53">
        <f ca="1">ROUND(IF(项目基本情况!B11="自然人",C8*F33/(1+'数据-取费表'!C42),C34+C35+C36),1)</f>
        <v>0</v>
      </c>
      <c r="D33" s="1964" t="s">
        <v>654</v>
      </c>
      <c r="E33" s="1962" t="s">
        <v>687</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1872</v>
      </c>
      <c r="B34" s="783" t="s">
        <v>657</v>
      </c>
      <c r="C34" s="53">
        <f ca="1">ROUND(C8*F34/(1+'数据-取费表'!C42),1)</f>
        <v>0</v>
      </c>
      <c r="D34" s="1962" t="s">
        <v>658</v>
      </c>
      <c r="E34" s="783" t="s">
        <v>646</v>
      </c>
      <c r="F34" s="808">
        <f>'数据-取费表'!B41</f>
        <v>5.5000000000000007E-2</v>
      </c>
      <c r="G34" s="2047"/>
      <c r="H34" s="2056"/>
      <c r="I34" s="2057"/>
      <c r="J34" s="2058"/>
      <c r="K34" s="2059"/>
      <c r="L34" s="2060"/>
      <c r="M34" s="2061"/>
    </row>
    <row r="35" spans="1:18" ht="18" customHeight="1">
      <c r="A35" s="802" t="s">
        <v>1846</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7"/>
      <c r="H35" s="2062"/>
      <c r="I35" s="2062"/>
      <c r="J35" s="2062"/>
      <c r="K35" s="2063"/>
      <c r="L35" s="2062"/>
      <c r="M35" s="2062"/>
    </row>
    <row r="36" spans="1:18" ht="18" customHeight="1">
      <c r="A36" s="812" t="s">
        <v>1877</v>
      </c>
      <c r="B36" s="340" t="s">
        <v>665</v>
      </c>
      <c r="C36" s="54">
        <f ca="1">ROUND(F36*F37/10000,1)</f>
        <v>0</v>
      </c>
      <c r="D36" s="813" t="s">
        <v>666</v>
      </c>
      <c r="E36" s="783" t="s">
        <v>667</v>
      </c>
      <c r="F36" s="639">
        <f>'数据-取费表'!B52</f>
        <v>1.5</v>
      </c>
      <c r="G36" s="2047"/>
      <c r="H36" s="2050"/>
      <c r="I36" s="3507"/>
      <c r="J36" s="2064"/>
      <c r="K36" s="2065"/>
      <c r="L36" s="2064"/>
      <c r="M36" s="2064"/>
    </row>
    <row r="37" spans="1:18" ht="18" customHeight="1">
      <c r="A37" s="814"/>
      <c r="B37" s="792"/>
      <c r="C37" s="69"/>
      <c r="D37" s="815"/>
      <c r="E37" s="783" t="s">
        <v>671</v>
      </c>
      <c r="F37" s="784">
        <f ca="1">INDIRECT("'数据-取费表'!r"&amp;$G$1)</f>
        <v>0</v>
      </c>
      <c r="G37" s="2047"/>
      <c r="H37" s="2050"/>
      <c r="I37" s="3507"/>
      <c r="J37" s="2062"/>
      <c r="K37" s="2063"/>
      <c r="L37" s="2062"/>
      <c r="M37" s="2062"/>
    </row>
    <row r="38" spans="1:18" ht="18" customHeight="1">
      <c r="A38" s="802" t="s">
        <v>1874</v>
      </c>
      <c r="B38" s="783" t="s">
        <v>673</v>
      </c>
      <c r="C38" s="53">
        <f ca="1">ROUND(C31*F38,1)</f>
        <v>0</v>
      </c>
      <c r="D38" s="1962" t="s">
        <v>688</v>
      </c>
      <c r="E38" s="783" t="s">
        <v>646</v>
      </c>
      <c r="F38" s="816">
        <f ca="1">INDIRECT("'数据-取费表'!Ak"&amp;$G$1)</f>
        <v>0</v>
      </c>
      <c r="G38" s="2047"/>
      <c r="H38" s="2062"/>
      <c r="I38" s="2066"/>
      <c r="J38" s="1973"/>
      <c r="K38" s="2067"/>
      <c r="L38" s="2062"/>
      <c r="M38" s="2062"/>
    </row>
    <row r="39" spans="1:18" ht="18" customHeight="1">
      <c r="A39" s="802" t="s">
        <v>1875</v>
      </c>
      <c r="B39" s="783" t="s">
        <v>676</v>
      </c>
      <c r="C39" s="53">
        <f ca="1">ROUND(C15*F39,1)</f>
        <v>0</v>
      </c>
      <c r="D39" s="1962" t="s">
        <v>677</v>
      </c>
      <c r="E39" s="783" t="s">
        <v>646</v>
      </c>
      <c r="F39" s="817">
        <f ca="1">INDIRECT("'数据-取费表'!Al"&amp;$G$1)</f>
        <v>0</v>
      </c>
      <c r="G39" s="2047"/>
      <c r="H39" s="2062"/>
      <c r="I39" s="2066"/>
      <c r="J39" s="1973"/>
      <c r="K39" s="2067"/>
      <c r="L39" s="2062"/>
      <c r="M39" s="2062"/>
    </row>
    <row r="40" spans="1:18" ht="18" customHeight="1" thickBot="1">
      <c r="A40" s="2524" t="s">
        <v>1876</v>
      </c>
      <c r="B40" s="2510" t="s">
        <v>663</v>
      </c>
      <c r="C40" s="2508">
        <f ca="1">ROUND(C7*F40,1)</f>
        <v>0</v>
      </c>
      <c r="D40" s="2509" t="s">
        <v>680</v>
      </c>
      <c r="E40" s="2510" t="s">
        <v>646</v>
      </c>
      <c r="F40" s="2506">
        <f ca="1">INDIRECT("'数据-取费表'!Am"&amp;$G$1)</f>
        <v>0</v>
      </c>
      <c r="G40" s="2047"/>
      <c r="H40" s="2062"/>
      <c r="I40" s="2066"/>
      <c r="J40" s="1973"/>
      <c r="K40" s="2068"/>
      <c r="L40" s="2062"/>
      <c r="M40" s="2062"/>
    </row>
    <row r="41" spans="1:18" ht="18" customHeight="1" thickTop="1">
      <c r="A41" s="1814">
        <v>4</v>
      </c>
      <c r="B41" s="1812" t="s">
        <v>689</v>
      </c>
      <c r="C41" s="1348"/>
      <c r="D41" s="1349"/>
      <c r="E41" s="1349"/>
      <c r="F41" s="1350"/>
      <c r="G41" s="2047"/>
      <c r="H41" s="2047"/>
      <c r="I41" s="2047"/>
      <c r="J41" s="2047"/>
      <c r="K41" s="2068"/>
      <c r="L41" s="2047"/>
      <c r="M41" s="2047"/>
    </row>
    <row r="42" spans="1:18" ht="18" customHeight="1">
      <c r="A42" s="802" t="s">
        <v>1873</v>
      </c>
      <c r="B42" s="834" t="s">
        <v>690</v>
      </c>
      <c r="C42" s="828">
        <f ca="1">C7-C32</f>
        <v>0</v>
      </c>
      <c r="D42" s="1964" t="s">
        <v>691</v>
      </c>
      <c r="E42" s="1966"/>
      <c r="F42" s="819"/>
      <c r="G42" s="2047"/>
      <c r="H42" s="2047"/>
      <c r="I42" s="2047"/>
      <c r="J42" s="2047"/>
      <c r="K42" s="2068"/>
      <c r="L42" s="2047"/>
      <c r="M42" s="2047"/>
    </row>
    <row r="43" spans="1:18" ht="18" customHeight="1">
      <c r="A43" s="802" t="s">
        <v>1874</v>
      </c>
      <c r="B43" s="834" t="s">
        <v>708</v>
      </c>
      <c r="C43" s="835">
        <f ca="1">ROUND(C15*F43,0)</f>
        <v>0</v>
      </c>
      <c r="D43" s="1351" t="s">
        <v>709</v>
      </c>
      <c r="E43" s="3074" t="s">
        <v>2958</v>
      </c>
      <c r="F43" s="3075">
        <f ca="1">INDIRECT("'数据-取费表'!j"&amp;$G$1)</f>
        <v>0</v>
      </c>
      <c r="G43" s="2047"/>
      <c r="H43" s="2047"/>
      <c r="I43" s="2047"/>
      <c r="J43" s="2047"/>
      <c r="K43" s="2068"/>
      <c r="L43" s="2047"/>
      <c r="M43" s="2047"/>
    </row>
    <row r="44" spans="1:18" ht="18" customHeight="1">
      <c r="A44" s="802" t="s">
        <v>1875</v>
      </c>
      <c r="B44" s="834" t="s">
        <v>710</v>
      </c>
      <c r="C44" s="1352">
        <f ca="1">C42-C43</f>
        <v>0</v>
      </c>
      <c r="D44" s="462" t="s">
        <v>711</v>
      </c>
      <c r="E44" s="463"/>
      <c r="F44" s="464"/>
      <c r="G44" s="2047"/>
      <c r="H44" s="2047"/>
      <c r="I44" s="2047"/>
      <c r="J44" s="2047"/>
      <c r="K44" s="2068"/>
      <c r="L44" s="2047"/>
      <c r="M44" s="2047"/>
    </row>
    <row r="45" spans="1:18" ht="18" customHeight="1">
      <c r="A45" s="802" t="s">
        <v>1876</v>
      </c>
      <c r="B45" s="1351" t="s">
        <v>712</v>
      </c>
      <c r="C45" s="2990">
        <f ca="1">ROUND(-PV(F45,F46,C44,0),0)</f>
        <v>0</v>
      </c>
      <c r="D45" s="1353" t="s">
        <v>713</v>
      </c>
      <c r="E45" s="805" t="s">
        <v>714</v>
      </c>
      <c r="F45" s="829">
        <f ca="1">INDIRECT("'数据-取费表'!h"&amp;$G$1)</f>
        <v>0</v>
      </c>
      <c r="G45" s="2047"/>
      <c r="H45" s="2047"/>
      <c r="I45" s="2047"/>
      <c r="J45" s="2047"/>
      <c r="K45" s="2068"/>
      <c r="L45" s="2047"/>
      <c r="M45" s="2047"/>
    </row>
    <row r="46" spans="1:18" ht="18" customHeight="1" thickBot="1">
      <c r="A46" s="830"/>
      <c r="B46" s="1354"/>
      <c r="C46" s="1355"/>
      <c r="D46" s="1356"/>
      <c r="E46" s="3076" t="s">
        <v>2961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5" t="s">
        <v>2346</v>
      </c>
      <c r="L48" s="3109">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6"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7"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0">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2974</v>
      </c>
      <c r="J54" s="3181">
        <f ca="1">IF(M48="住宅",MAX(J52,L49-'数据-取费表'!B20),MIN(J52,L49-'数据-取费表'!B20))</f>
        <v>-2</v>
      </c>
      <c r="K54" s="3512"/>
      <c r="L54" s="3513"/>
      <c r="O54" s="2365" t="s">
        <v>2385</v>
      </c>
      <c r="P54" s="2363" t="s">
        <v>2386</v>
      </c>
      <c r="Q54" s="2364">
        <f ca="1">J54</f>
        <v>-2</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2388</v>
      </c>
      <c r="P55" s="2363" t="s">
        <v>2405</v>
      </c>
      <c r="Q55" s="2364">
        <f ca="1">Q49+Q50</f>
        <v>0</v>
      </c>
      <c r="R55" s="2367" t="s">
        <v>2389</v>
      </c>
    </row>
    <row r="56" spans="1:18" s="2044" customFormat="1" ht="16.5" thickBot="1">
      <c r="A56" s="2081"/>
      <c r="B56" s="2082"/>
      <c r="C56" s="2082"/>
      <c r="I56" s="3113" t="s">
        <v>2352</v>
      </c>
      <c r="J56" s="3053" t="e">
        <f ca="1">ROUND(IF(J48="钢混",J58/J51,1-(1-2%)*(J51-J58)/J51),3)</f>
        <v>#VALUE!</v>
      </c>
      <c r="K56" s="3114" t="s">
        <v>2353</v>
      </c>
      <c r="L56" s="2350"/>
      <c r="O56" s="2368" t="s">
        <v>2408</v>
      </c>
      <c r="P56" s="1578"/>
      <c r="Q56" s="1589"/>
      <c r="R56" s="1578"/>
    </row>
    <row r="57" spans="1:18" s="2044" customFormat="1" ht="43.5" thickBot="1">
      <c r="A57" s="2081"/>
      <c r="B57" s="2082"/>
      <c r="C57" s="2082"/>
      <c r="I57" s="3115" t="s">
        <v>2354</v>
      </c>
      <c r="J57" s="3125" t="s">
        <v>1675</v>
      </c>
      <c r="K57" s="3078" t="s">
        <v>2359</v>
      </c>
      <c r="L57" s="1893">
        <f ca="1">IF(L49&lt;J52,"——",L49-J52)</f>
        <v>0</v>
      </c>
      <c r="O57" s="2359" t="s">
        <v>2372</v>
      </c>
      <c r="P57" s="2360" t="s">
        <v>2373</v>
      </c>
      <c r="Q57" s="2361" t="s">
        <v>2374</v>
      </c>
      <c r="R57" s="2360" t="s">
        <v>2375</v>
      </c>
    </row>
    <row r="58" spans="1:18" s="2044" customFormat="1" ht="29.25" thickBot="1">
      <c r="A58" s="2081"/>
      <c r="B58" s="2082"/>
      <c r="C58" s="2082"/>
      <c r="I58" s="3116" t="s">
        <v>2355</v>
      </c>
      <c r="J58" s="3117"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6"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6" t="s">
        <v>2357</v>
      </c>
      <c r="J60" s="3117"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8" t="s">
        <v>2358</v>
      </c>
      <c r="J61" s="3119" t="str">
        <f ca="1">IF(OR(M48="住宅",J52&lt;L49,J57="是"),"0",ROUND(J60/(1+J53)^J54,0))</f>
        <v>0</v>
      </c>
      <c r="K61" s="3120" t="s">
        <v>2363</v>
      </c>
      <c r="L61" s="3119"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1" t="s">
        <v>2364</v>
      </c>
      <c r="J63" s="3122" t="s">
        <v>2365</v>
      </c>
      <c r="K63" s="3122" t="s">
        <v>2366</v>
      </c>
      <c r="L63" s="3122" t="s">
        <v>2347</v>
      </c>
      <c r="M63" s="3123" t="s">
        <v>2940</v>
      </c>
      <c r="O63" s="2365" t="s">
        <v>2385</v>
      </c>
      <c r="P63" s="2363" t="s">
        <v>2393</v>
      </c>
      <c r="Q63" s="2364">
        <f ca="1">L60</f>
        <v>0</v>
      </c>
      <c r="R63" s="2367" t="s">
        <v>2394</v>
      </c>
    </row>
    <row r="64" spans="1:18" s="2044" customFormat="1" ht="15.75" thickBot="1">
      <c r="A64" s="2081"/>
      <c r="B64" s="2082"/>
      <c r="C64" s="2082"/>
      <c r="I64" s="3121" t="s">
        <v>2367</v>
      </c>
      <c r="J64" s="3122">
        <v>70</v>
      </c>
      <c r="K64" s="3122">
        <v>50</v>
      </c>
      <c r="L64" s="3122">
        <v>80</v>
      </c>
      <c r="M64" s="3124">
        <v>0.02</v>
      </c>
      <c r="O64" s="2362" t="s">
        <v>2388</v>
      </c>
      <c r="P64" s="2363" t="s">
        <v>2405</v>
      </c>
      <c r="Q64" s="2364" t="e">
        <f ca="1">Q58+Q59</f>
        <v>#DIV/0!</v>
      </c>
      <c r="R64" s="2367" t="s">
        <v>2389</v>
      </c>
    </row>
    <row r="65" spans="1:18" s="2044" customFormat="1" ht="16.5" thickBot="1">
      <c r="A65" s="2081"/>
      <c r="B65" s="2082"/>
      <c r="C65" s="2082"/>
      <c r="I65" s="3121" t="s">
        <v>2368</v>
      </c>
      <c r="J65" s="3122">
        <v>50</v>
      </c>
      <c r="K65" s="3122">
        <v>35</v>
      </c>
      <c r="L65" s="3122">
        <v>60</v>
      </c>
      <c r="M65" s="845">
        <v>0</v>
      </c>
      <c r="O65" s="2368" t="s">
        <v>2412</v>
      </c>
      <c r="P65" s="1578"/>
      <c r="Q65" s="1589"/>
      <c r="R65" s="1578"/>
    </row>
    <row r="66" spans="1:18" s="2044" customFormat="1" ht="15.75"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6" sqref="D4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1722</v>
      </c>
      <c r="B1" s="737"/>
      <c r="C1" s="772" t="s">
        <v>3089</v>
      </c>
      <c r="D1" s="3077" t="s">
        <v>949</v>
      </c>
      <c r="E1" s="2351" t="s">
        <v>2371</v>
      </c>
      <c r="F1" s="2352">
        <f ca="1">J53</f>
        <v>50</v>
      </c>
      <c r="G1" s="773">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1723</v>
      </c>
      <c r="B2" s="774">
        <f ca="1">C40+J29+L46</f>
        <v>1163</v>
      </c>
      <c r="C2" s="2042"/>
      <c r="D2" s="2040"/>
      <c r="E2" s="2041"/>
      <c r="F2" s="2041"/>
      <c r="G2" s="1576"/>
      <c r="H2" s="2042"/>
      <c r="I2" s="2042"/>
      <c r="J2" s="2042"/>
      <c r="K2" s="2043"/>
      <c r="L2" s="2042"/>
      <c r="M2" s="2042"/>
    </row>
    <row r="3" spans="1:33" ht="18" customHeight="1" thickBot="1">
      <c r="A3" s="832" t="s">
        <v>1724</v>
      </c>
      <c r="B3" s="833">
        <f ca="1">IF(ISERROR(B2*10000/F43),0,ROUND(B2*10000/F43,0))</f>
        <v>2837</v>
      </c>
      <c r="C3" s="2042"/>
      <c r="D3" s="2040"/>
      <c r="E3" s="2041"/>
      <c r="F3" s="2041"/>
      <c r="G3" s="1576"/>
      <c r="H3" s="775" t="s">
        <v>692</v>
      </c>
      <c r="I3" s="1358"/>
      <c r="J3" s="1358"/>
      <c r="K3" s="1577"/>
      <c r="L3" s="1358"/>
      <c r="M3" s="1358"/>
    </row>
    <row r="4" spans="1:33" ht="18" customHeight="1">
      <c r="A4" s="776" t="s">
        <v>1725</v>
      </c>
      <c r="B4" s="777" t="s">
        <v>1726</v>
      </c>
      <c r="C4" s="777" t="s">
        <v>1727</v>
      </c>
      <c r="D4" s="777" t="s">
        <v>630</v>
      </c>
      <c r="E4" s="778" t="s">
        <v>1728</v>
      </c>
      <c r="F4" s="779"/>
      <c r="G4" s="1578"/>
      <c r="H4" s="776" t="s">
        <v>1729</v>
      </c>
      <c r="I4" s="777" t="s">
        <v>1730</v>
      </c>
      <c r="J4" s="777" t="s">
        <v>1731</v>
      </c>
      <c r="K4" s="777" t="s">
        <v>1732</v>
      </c>
      <c r="L4" s="778" t="s">
        <v>1733</v>
      </c>
      <c r="M4" s="779"/>
    </row>
    <row r="5" spans="1:33" ht="18" customHeight="1">
      <c r="A5" s="780">
        <v>1</v>
      </c>
      <c r="B5" s="781" t="s">
        <v>2455</v>
      </c>
      <c r="C5" s="55">
        <f ca="1">C6+C10+C12</f>
        <v>73</v>
      </c>
      <c r="D5" s="2460" t="s">
        <v>2458</v>
      </c>
      <c r="E5" s="2454"/>
      <c r="F5" s="2455"/>
      <c r="G5" s="1578"/>
      <c r="H5" s="780">
        <v>1</v>
      </c>
      <c r="I5" s="781" t="s">
        <v>2455</v>
      </c>
      <c r="J5" s="55">
        <f ca="1">J6+J10+J12</f>
        <v>0</v>
      </c>
      <c r="K5" s="2460" t="s">
        <v>2458</v>
      </c>
      <c r="L5" s="2454"/>
      <c r="M5" s="2455"/>
    </row>
    <row r="6" spans="1:33" ht="18" customHeight="1">
      <c r="A6" s="1815" t="s">
        <v>1821</v>
      </c>
      <c r="B6" s="3508" t="s">
        <v>2460</v>
      </c>
      <c r="C6" s="782">
        <f ca="1">ROUND(F6*F8*F7*(1-F9)/10000,0)</f>
        <v>73</v>
      </c>
      <c r="D6" s="2461" t="s">
        <v>2459</v>
      </c>
      <c r="E6" s="783" t="s">
        <v>1735</v>
      </c>
      <c r="F6" s="784">
        <f ca="1">INDIRECT("'数据-取费表'!u"&amp;$G$1)</f>
        <v>580</v>
      </c>
      <c r="G6" s="1578"/>
      <c r="H6" s="2468" t="s">
        <v>2465</v>
      </c>
      <c r="I6" s="3508" t="s">
        <v>2460</v>
      </c>
      <c r="J6" s="782">
        <f ca="1">ROUND(M6*M8*M7*(1-M9)/10000,0)</f>
        <v>0</v>
      </c>
      <c r="K6" s="340" t="s">
        <v>1734</v>
      </c>
      <c r="L6" s="783" t="s">
        <v>1735</v>
      </c>
      <c r="M6" s="784">
        <f ca="1">INDIRECT("'数据-取费表'!z"&amp;$G$1)</f>
        <v>0</v>
      </c>
    </row>
    <row r="7" spans="1:33" ht="18" customHeight="1">
      <c r="A7" s="2464"/>
      <c r="B7" s="3509"/>
      <c r="C7" s="787"/>
      <c r="D7" s="788"/>
      <c r="E7" s="783" t="s">
        <v>1736</v>
      </c>
      <c r="F7" s="784">
        <f ca="1">IF(INDIRECT("'数据-取费表'!ah"&amp;$G$1)="",INDIRECT("'数据-取费表'!k"&amp;$G$1),INDIRECT("'数据-取费表'!ah"&amp;$G$1))</f>
        <v>117</v>
      </c>
      <c r="G7" s="1578"/>
      <c r="H7" s="2453"/>
      <c r="I7" s="3509"/>
      <c r="J7" s="787"/>
      <c r="K7" s="788"/>
      <c r="L7" s="783" t="s">
        <v>1736</v>
      </c>
      <c r="M7" s="784">
        <f ca="1">F7</f>
        <v>117</v>
      </c>
    </row>
    <row r="8" spans="1:33" ht="18" customHeight="1">
      <c r="A8" s="2457"/>
      <c r="B8" s="3510"/>
      <c r="C8" s="787"/>
      <c r="D8" s="788"/>
      <c r="E8" s="783" t="s">
        <v>1737</v>
      </c>
      <c r="F8" s="784">
        <f ca="1">INDIRECT("'数据-取费表'!ai"&amp;$G$1)</f>
        <v>12</v>
      </c>
      <c r="G8" s="1578"/>
      <c r="H8" s="2453"/>
      <c r="I8" s="3510"/>
      <c r="J8" s="787"/>
      <c r="K8" s="788"/>
      <c r="L8" s="783" t="s">
        <v>1737</v>
      </c>
      <c r="M8" s="784">
        <f ca="1">INDIRECT("'数据-取费表'!ai"&amp;$G$1)</f>
        <v>12</v>
      </c>
    </row>
    <row r="9" spans="1:33" ht="18" customHeight="1">
      <c r="A9" s="785"/>
      <c r="B9" s="3511"/>
      <c r="C9" s="787"/>
      <c r="D9" s="788"/>
      <c r="E9" s="783" t="s">
        <v>1738</v>
      </c>
      <c r="F9" s="793">
        <f ca="1">INDIRECT("'数据-取费表'!w"&amp;$G$1)</f>
        <v>0.1</v>
      </c>
      <c r="G9" s="1578"/>
      <c r="H9" s="2469"/>
      <c r="I9" s="3510"/>
      <c r="J9" s="787"/>
      <c r="K9" s="788"/>
      <c r="L9" s="794" t="s">
        <v>1738</v>
      </c>
      <c r="M9" s="795">
        <f ca="1">INDIRECT("'数据-取费表'!ab"&amp;$G$1)</f>
        <v>0</v>
      </c>
    </row>
    <row r="10" spans="1:33" ht="18" customHeight="1">
      <c r="A10" s="1815" t="s">
        <v>2463</v>
      </c>
      <c r="B10" s="2458" t="s">
        <v>2456</v>
      </c>
      <c r="C10" s="798">
        <f ca="1">ROUND(IF(F10="押一",C6/12*F11,IF(F10="押二",C6/12*2*F11,IF(F10="押三",C6/12*3*F11,C11*F11))),0)</f>
        <v>0</v>
      </c>
      <c r="D10" s="2465" t="s">
        <v>2970</v>
      </c>
      <c r="E10" s="2462" t="s">
        <v>2461</v>
      </c>
      <c r="F10" s="2585" t="s">
        <v>3253</v>
      </c>
      <c r="G10" s="1578"/>
      <c r="H10" s="2525" t="s">
        <v>2466</v>
      </c>
      <c r="I10" s="2530" t="s">
        <v>2456</v>
      </c>
      <c r="J10" s="782">
        <f ca="1">ROUND(IF(M10="押一",J6/12*M11,IF(M10="押二",J6/12*2*M11,IF(M10="押三",J6/12*3*M11,J11*M11))),0)</f>
        <v>0</v>
      </c>
      <c r="K10" s="2465" t="s">
        <v>2970</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1739</v>
      </c>
      <c r="C13" s="791">
        <f ca="1">ROUND(C29*F13,0)</f>
        <v>1137</v>
      </c>
      <c r="D13" s="1819" t="s">
        <v>2294</v>
      </c>
      <c r="E13" s="1819" t="s">
        <v>1741</v>
      </c>
      <c r="F13" s="2500">
        <f ca="1">INDIRECT("'数据-取费表'!y"&amp;$G$1)</f>
        <v>1</v>
      </c>
      <c r="G13" s="1578"/>
      <c r="H13" s="1814">
        <v>2</v>
      </c>
      <c r="I13" s="1812" t="s">
        <v>1739</v>
      </c>
      <c r="J13" s="1804">
        <f ca="1">ROUND(J14*J15,0)</f>
        <v>0</v>
      </c>
      <c r="K13" s="1806" t="s">
        <v>1740</v>
      </c>
      <c r="L13" s="2516"/>
      <c r="M13" s="2517"/>
    </row>
    <row r="14" spans="1:33" ht="18" customHeight="1">
      <c r="A14" s="1633" t="s">
        <v>1881</v>
      </c>
      <c r="B14" s="783" t="s">
        <v>642</v>
      </c>
      <c r="C14" s="803">
        <f ca="1">INDIRECT("'数据-取费表'!m"&amp;$G$1)+INDIRECT("'数据-取费表'!t"&amp;$G$1)</f>
        <v>820</v>
      </c>
      <c r="D14" s="1964" t="s">
        <v>1742</v>
      </c>
      <c r="E14" s="1965"/>
      <c r="F14" s="804"/>
      <c r="G14" s="1578"/>
      <c r="H14" s="1634" t="s">
        <v>1827</v>
      </c>
      <c r="I14" s="2216" t="s">
        <v>2822</v>
      </c>
      <c r="J14" s="53">
        <f ca="1">C29</f>
        <v>1137</v>
      </c>
      <c r="K14" s="26"/>
      <c r="L14" s="800"/>
      <c r="M14" s="801"/>
    </row>
    <row r="15" spans="1:33" s="2049" customFormat="1" ht="18" customHeight="1" thickBot="1">
      <c r="A15" s="1633" t="s">
        <v>1882</v>
      </c>
      <c r="B15" s="783" t="s">
        <v>644</v>
      </c>
      <c r="C15" s="53">
        <f ca="1">ROUND(C14*F15,0)</f>
        <v>25</v>
      </c>
      <c r="D15" s="805" t="s">
        <v>1743</v>
      </c>
      <c r="E15" s="805" t="s">
        <v>1744</v>
      </c>
      <c r="F15" s="806">
        <f>'数据-取费表'!B33</f>
        <v>0.03</v>
      </c>
      <c r="G15" s="1579"/>
      <c r="H15" s="2515" t="s">
        <v>1886</v>
      </c>
      <c r="I15" s="2510" t="s">
        <v>1741</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1883</v>
      </c>
      <c r="B16" s="783" t="s">
        <v>647</v>
      </c>
      <c r="C16" s="53">
        <f ca="1">ROUND(INDIRECT("'数据-取费表'!m"&amp;$G$1)*F16,0)</f>
        <v>0</v>
      </c>
      <c r="D16" s="783" t="s">
        <v>1743</v>
      </c>
      <c r="E16" s="783" t="s">
        <v>1744</v>
      </c>
      <c r="F16" s="808">
        <f ca="1">IF(INDIRECT("'数据-取费表'!c"&amp;$G$1)="住宅",'数据-取费表'!B34,0)</f>
        <v>0</v>
      </c>
      <c r="G16" s="1578"/>
      <c r="H16" s="1814" t="s">
        <v>1745</v>
      </c>
      <c r="I16" s="1812" t="s">
        <v>1746</v>
      </c>
      <c r="J16" s="791">
        <f ca="1">ROUND(J17+J22+J23+J24,0)</f>
        <v>33</v>
      </c>
      <c r="K16" s="1806" t="s">
        <v>1747</v>
      </c>
      <c r="L16" s="2450"/>
      <c r="M16" s="2455"/>
    </row>
    <row r="17" spans="1:33" s="2049" customFormat="1" ht="18" customHeight="1">
      <c r="A17" s="1633" t="s">
        <v>1884</v>
      </c>
      <c r="B17" s="783" t="s">
        <v>650</v>
      </c>
      <c r="C17" s="53">
        <f ca="1">ROUND(F17*(F43+INDIRECT("'数据-取费表'!S"&amp;$G$1))/10000,0)</f>
        <v>82</v>
      </c>
      <c r="D17" s="783" t="s">
        <v>1748</v>
      </c>
      <c r="E17" s="783" t="s">
        <v>1749</v>
      </c>
      <c r="F17" s="56">
        <f>'数据-取费表'!B35</f>
        <v>200</v>
      </c>
      <c r="G17" s="1579"/>
      <c r="H17" s="1634" t="s">
        <v>1827</v>
      </c>
      <c r="I17" s="783" t="s">
        <v>653</v>
      </c>
      <c r="J17" s="53">
        <f ca="1">ROUND(IF(项目基本情况!B11="自然人",J6*M17/(1+'数据-取费表'!C42),J18+J19+J20),0)</f>
        <v>16</v>
      </c>
      <c r="K17" s="2449" t="s">
        <v>1750</v>
      </c>
      <c r="L17" s="2448" t="s">
        <v>1751</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1885</v>
      </c>
      <c r="B18" s="783" t="s">
        <v>656</v>
      </c>
      <c r="C18" s="53">
        <f ca="1">ROUND(C14*F18,0)</f>
        <v>12</v>
      </c>
      <c r="D18" s="783" t="s">
        <v>1743</v>
      </c>
      <c r="E18" s="783" t="s">
        <v>1744</v>
      </c>
      <c r="F18" s="808">
        <f>'数据-取费表'!B36</f>
        <v>1.4999999999999999E-2</v>
      </c>
      <c r="G18" s="1579"/>
      <c r="H18" s="1633" t="s">
        <v>1881</v>
      </c>
      <c r="I18" s="783" t="s">
        <v>1752</v>
      </c>
      <c r="J18" s="53">
        <f ca="1">ROUND(J6*M18/(1+'数据-取费表'!C42),1)</f>
        <v>0</v>
      </c>
      <c r="K18" s="2448" t="s">
        <v>1753</v>
      </c>
      <c r="L18" s="783" t="s">
        <v>1744</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1827</v>
      </c>
      <c r="B19" s="783" t="s">
        <v>659</v>
      </c>
      <c r="C19" s="53">
        <f ca="1">SUM(C14:C18)</f>
        <v>939</v>
      </c>
      <c r="D19" s="260" t="s">
        <v>1754</v>
      </c>
      <c r="E19" s="1967"/>
      <c r="F19" s="56"/>
      <c r="G19" s="1578"/>
      <c r="H19" s="1633" t="s">
        <v>1882</v>
      </c>
      <c r="I19" s="783" t="s">
        <v>1755</v>
      </c>
      <c r="J19" s="53">
        <f ca="1">IF(K19="按租金收入计税",ROUND(J6*M19/(1+'数据-取费表'!C42),1),ROUND(C29*F33*0.7,1))</f>
        <v>9.6</v>
      </c>
      <c r="K19" s="810" t="s">
        <v>662</v>
      </c>
      <c r="L19" s="783" t="s">
        <v>1744</v>
      </c>
      <c r="M19" s="808">
        <f>IF(K19="按租金收入计税",'数据-取费表'!B51,'数据-取费表'!B50)</f>
        <v>1.2E-2</v>
      </c>
    </row>
    <row r="20" spans="1:33" s="2049" customFormat="1" ht="18" customHeight="1">
      <c r="A20" s="1634" t="s">
        <v>1886</v>
      </c>
      <c r="B20" s="783" t="s">
        <v>663</v>
      </c>
      <c r="C20" s="53">
        <f ca="1">ROUND(C19*F20,0)</f>
        <v>19</v>
      </c>
      <c r="D20" s="811" t="s">
        <v>1756</v>
      </c>
      <c r="E20" s="783" t="s">
        <v>1744</v>
      </c>
      <c r="F20" s="808">
        <f>'数据-取费表'!B37</f>
        <v>0.02</v>
      </c>
      <c r="G20" s="1579"/>
      <c r="H20" s="1636" t="s">
        <v>1877</v>
      </c>
      <c r="I20" s="340" t="s">
        <v>1757</v>
      </c>
      <c r="J20" s="54">
        <f ca="1">ROUND(M20*M21/10000,0)</f>
        <v>6</v>
      </c>
      <c r="K20" s="813" t="s">
        <v>1758</v>
      </c>
      <c r="L20" s="783" t="s">
        <v>1759</v>
      </c>
      <c r="M20" s="639">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1887</v>
      </c>
      <c r="B21" s="783" t="s">
        <v>1760</v>
      </c>
      <c r="C21" s="53" t="s">
        <v>1761</v>
      </c>
      <c r="D21" s="811" t="s">
        <v>2295</v>
      </c>
      <c r="E21" s="783" t="s">
        <v>1762</v>
      </c>
      <c r="F21" s="808">
        <f>'数据-取费表'!B38</f>
        <v>0.02</v>
      </c>
      <c r="G21" s="1579"/>
      <c r="H21" s="2470"/>
      <c r="I21" s="792"/>
      <c r="J21" s="69"/>
      <c r="K21" s="815"/>
      <c r="L21" s="783" t="s">
        <v>1763</v>
      </c>
      <c r="M21" s="784">
        <f ca="1">INDIRECT("'数据-取费表'!r"&amp;$G$1)</f>
        <v>40700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1888</v>
      </c>
      <c r="B22" s="783" t="s">
        <v>1764</v>
      </c>
      <c r="C22" s="53"/>
      <c r="D22" s="2536" t="str">
        <f>IF(F23&lt;=1,"单利计息。","复利计息。")&amp;"建造成本、管理费用、销售费用产生的利息。"</f>
        <v>复利计息。建造成本、管理费用、销售费用产生的利息。</v>
      </c>
      <c r="E22" s="1967"/>
      <c r="F22" s="56"/>
      <c r="G22" s="1578"/>
      <c r="H22" s="1634" t="s">
        <v>1886</v>
      </c>
      <c r="I22" s="783" t="s">
        <v>1765</v>
      </c>
      <c r="J22" s="53">
        <f ca="1">ROUND(J14*M22,0)</f>
        <v>17</v>
      </c>
      <c r="K22" s="2448" t="s">
        <v>1766</v>
      </c>
      <c r="L22" s="783" t="s">
        <v>1744</v>
      </c>
      <c r="M22" s="816">
        <f ca="1">INDIRECT("'数据-取费表'!Ak"&amp;$G$1)</f>
        <v>1.4999999999999999E-2</v>
      </c>
    </row>
    <row r="23" spans="1:33" s="2049" customFormat="1" ht="18" customHeight="1">
      <c r="A23" s="1633" t="s">
        <v>1828</v>
      </c>
      <c r="B23" s="783" t="s">
        <v>2532</v>
      </c>
      <c r="C23" s="53">
        <f ca="1">ROUND(IF('数据-取费表'!B22&lt;=1,(C19+C20)*F24*F23/2,(C19+C20)*(POWER((1+F24),F23/2)-1)),0)</f>
        <v>46</v>
      </c>
      <c r="D23" s="2535" t="str">
        <f>IF(F23&lt;=1,"(建造成本+管理费用)×利率×(建设周期÷2)","(建造成本+管理费用)×((1+利率)^(建设周期÷2)-1)")</f>
        <v>(建造成本+管理费用)×((1+利率)^(建设周期÷2)-1)</v>
      </c>
      <c r="E23" s="783" t="s">
        <v>1767</v>
      </c>
      <c r="F23" s="639">
        <f>'数据-取费表'!B20</f>
        <v>2</v>
      </c>
      <c r="G23" s="1579"/>
      <c r="H23" s="1634" t="s">
        <v>1887</v>
      </c>
      <c r="I23" s="783" t="s">
        <v>676</v>
      </c>
      <c r="J23" s="53">
        <f ca="1">ROUND(J13*M23,0)</f>
        <v>0</v>
      </c>
      <c r="K23" s="2448" t="s">
        <v>1768</v>
      </c>
      <c r="L23" s="783" t="s">
        <v>1744</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1829</v>
      </c>
      <c r="B24" s="783" t="s">
        <v>1769</v>
      </c>
      <c r="C24" s="53">
        <f ca="1">ROUND(IF('数据-取费表'!B22&lt;=1,F21*F24*F23/2,F21*(POWER((1+F24),F23/2)-1)),4)</f>
        <v>1E-3</v>
      </c>
      <c r="D24" s="2535" t="str">
        <f>IF(F23&lt;=1,"销售费用×利率×(建设周期÷2)","销售费用×((1+利率)^(建设周期÷2)-1)")</f>
        <v>销售费用×((1+利率)^(建设周期÷2)-1)</v>
      </c>
      <c r="E24" s="783" t="s">
        <v>1770</v>
      </c>
      <c r="F24" s="818">
        <f ca="1">'数据-取费表'!B40</f>
        <v>4.7500000000000001E-2</v>
      </c>
      <c r="G24" s="1579"/>
      <c r="H24" s="2515" t="s">
        <v>1888</v>
      </c>
      <c r="I24" s="2510" t="s">
        <v>663</v>
      </c>
      <c r="J24" s="2508">
        <f ca="1">ROUND(J5*M24,0)</f>
        <v>0</v>
      </c>
      <c r="K24" s="2509" t="s">
        <v>1771</v>
      </c>
      <c r="L24" s="2510" t="s">
        <v>1744</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1837</v>
      </c>
      <c r="B25" s="783" t="s">
        <v>681</v>
      </c>
      <c r="C25" s="53"/>
      <c r="D25" s="260" t="s">
        <v>1772</v>
      </c>
      <c r="E25" s="1967"/>
      <c r="F25" s="56"/>
      <c r="G25" s="1578"/>
      <c r="H25" s="1814" t="s">
        <v>1773</v>
      </c>
      <c r="I25" s="2962" t="s">
        <v>2818</v>
      </c>
      <c r="J25" s="791">
        <f ca="1">J5-J16</f>
        <v>-33</v>
      </c>
      <c r="K25" s="2512" t="s">
        <v>1774</v>
      </c>
      <c r="L25" s="2513"/>
      <c r="M25" s="2514"/>
    </row>
    <row r="26" spans="1:33" ht="18" customHeight="1">
      <c r="A26" s="1633" t="s">
        <v>1828</v>
      </c>
      <c r="B26" s="783" t="s">
        <v>2435</v>
      </c>
      <c r="C26" s="53">
        <f ca="1">ROUND((C19+C20)*F26,0)</f>
        <v>48</v>
      </c>
      <c r="D26" s="811" t="s">
        <v>1775</v>
      </c>
      <c r="E26" s="794" t="s">
        <v>1776</v>
      </c>
      <c r="F26" s="793">
        <f ca="1">INDIRECT("'数据-取费表'!q"&amp;$G$1)</f>
        <v>0.05</v>
      </c>
      <c r="G26" s="1578"/>
      <c r="H26" s="2466" t="s">
        <v>1777</v>
      </c>
      <c r="I26" s="2217" t="s">
        <v>2823</v>
      </c>
      <c r="J26" s="782">
        <f ca="1">IF(J5&lt;&gt;0,ROUND(J25*(1-((1+M28)/(1+M26))^M27)/(M26-M28),0),0)</f>
        <v>0</v>
      </c>
      <c r="K26" s="813" t="s">
        <v>1778</v>
      </c>
      <c r="L26" s="783" t="s">
        <v>2416</v>
      </c>
      <c r="M26" s="793">
        <f ca="1">INDIRECT("'数据-取费表'!I"&amp;$G$1)</f>
        <v>0.05</v>
      </c>
    </row>
    <row r="27" spans="1:33" ht="18" customHeight="1">
      <c r="A27" s="1633" t="s">
        <v>1829</v>
      </c>
      <c r="B27" s="783" t="s">
        <v>683</v>
      </c>
      <c r="C27" s="53">
        <f ca="1">ROUND(F21*F26,4)</f>
        <v>1E-3</v>
      </c>
      <c r="D27" s="811" t="s">
        <v>1779</v>
      </c>
      <c r="E27" s="805"/>
      <c r="F27" s="806"/>
      <c r="G27" s="1578"/>
      <c r="H27" s="2467"/>
      <c r="I27" s="786"/>
      <c r="J27" s="787"/>
      <c r="K27" s="820" t="s">
        <v>1780</v>
      </c>
      <c r="L27" s="783" t="s">
        <v>1781</v>
      </c>
      <c r="M27" s="821">
        <f ca="1">INDIRECT("'数据-取费表'!ag"&amp;$G$1)</f>
        <v>0</v>
      </c>
    </row>
    <row r="28" spans="1:33" s="2049" customFormat="1" ht="18" customHeight="1">
      <c r="A28" s="1635" t="s">
        <v>1838</v>
      </c>
      <c r="B28" s="783" t="s">
        <v>684</v>
      </c>
      <c r="C28" s="53">
        <f>ROUND(F28/(1+'数据-取费表'!C42),4)</f>
        <v>5.2400000000000002E-2</v>
      </c>
      <c r="D28" s="811" t="s">
        <v>2296</v>
      </c>
      <c r="E28" s="783" t="s">
        <v>1782</v>
      </c>
      <c r="F28" s="808">
        <f>'数据-取费表'!B41</f>
        <v>5.5000000000000007E-2</v>
      </c>
      <c r="G28" s="1579"/>
      <c r="H28" s="1814"/>
      <c r="I28" s="790"/>
      <c r="J28" s="791"/>
      <c r="K28" s="815"/>
      <c r="L28" s="783" t="s">
        <v>1783</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1889</v>
      </c>
      <c r="B29" s="2505" t="s">
        <v>2297</v>
      </c>
      <c r="C29" s="2508">
        <f ca="1">ROUND((C19+C20+C23+C26)/(1-F21-C24-C27-C28),0)</f>
        <v>1137</v>
      </c>
      <c r="D29" s="2509"/>
      <c r="E29" s="2510"/>
      <c r="F29" s="2511"/>
      <c r="G29" s="1579"/>
      <c r="H29" s="822" t="s">
        <v>1784</v>
      </c>
      <c r="I29" s="823" t="s">
        <v>1785</v>
      </c>
      <c r="J29" s="824">
        <f ca="1">ROUND(J26/(1+F40)^F41,0)</f>
        <v>0</v>
      </c>
      <c r="K29" s="825" t="s">
        <v>1786</v>
      </c>
      <c r="L29" s="826"/>
      <c r="M29" s="827">
        <f ca="1">INDIRECT("'数据-取费表'!k"&amp;$G$1)</f>
        <v>4100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1890</v>
      </c>
      <c r="B30" s="1812" t="s">
        <v>1787</v>
      </c>
      <c r="C30" s="791">
        <f ca="1">ROUND(C31+C36+C37+C38,0)</f>
        <v>39</v>
      </c>
      <c r="D30" s="1806" t="s">
        <v>1788</v>
      </c>
      <c r="E30" s="2450"/>
      <c r="F30" s="2455"/>
      <c r="G30" s="2047"/>
      <c r="H30" s="2050"/>
      <c r="I30" s="2051"/>
      <c r="J30" s="2052"/>
      <c r="K30" s="2053"/>
      <c r="L30" s="2054"/>
      <c r="M30" s="2055"/>
    </row>
    <row r="31" spans="1:33" ht="18" customHeight="1">
      <c r="A31" s="1634" t="s">
        <v>1827</v>
      </c>
      <c r="B31" s="783" t="s">
        <v>653</v>
      </c>
      <c r="C31" s="53">
        <f ca="1">ROUND(IF(项目基本情况!B11="自然人",C6*F31/(1+'数据-取费表'!C42),C32+C33+C34),1)</f>
        <v>19.5</v>
      </c>
      <c r="D31" s="1964" t="s">
        <v>1789</v>
      </c>
      <c r="E31" s="1962" t="s">
        <v>1790</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1828</v>
      </c>
      <c r="B32" s="783" t="s">
        <v>1791</v>
      </c>
      <c r="C32" s="53">
        <f ca="1">ROUND(C6*F32/(1+'数据-取费表'!C42),1)</f>
        <v>3.8</v>
      </c>
      <c r="D32" s="1962" t="s">
        <v>1792</v>
      </c>
      <c r="E32" s="783" t="s">
        <v>1793</v>
      </c>
      <c r="F32" s="808">
        <f>'数据-取费表'!B41</f>
        <v>5.5000000000000007E-2</v>
      </c>
      <c r="G32" s="2047"/>
      <c r="H32" s="2056"/>
      <c r="I32" s="2057"/>
      <c r="J32" s="2058"/>
      <c r="K32" s="2059"/>
      <c r="L32" s="2060"/>
      <c r="M32" s="2061"/>
    </row>
    <row r="33" spans="1:18" ht="18" customHeight="1">
      <c r="A33" s="1633" t="s">
        <v>1829</v>
      </c>
      <c r="B33" s="783" t="s">
        <v>1794</v>
      </c>
      <c r="C33" s="53">
        <f ca="1">IF(D33="按租金收入计税",ROUND(C6*F33/(1+'数据-取费表'!C42),1),IF(D33="按房产原值计税",ROUND(C29*F33*0.7,1),INDIRECT("'数据-取费表'!Aj"&amp;$G$1)))</f>
        <v>9.6</v>
      </c>
      <c r="D33" s="810" t="s">
        <v>1677</v>
      </c>
      <c r="E33" s="783" t="s">
        <v>1793</v>
      </c>
      <c r="F33" s="808">
        <f>IF(D33="按租金收入计税",'数据-取费表'!B51,'数据-取费表'!B50)</f>
        <v>1.2E-2</v>
      </c>
      <c r="G33" s="2047"/>
      <c r="H33" s="2062"/>
      <c r="I33" s="2062"/>
      <c r="J33" s="2062"/>
      <c r="K33" s="2063"/>
      <c r="L33" s="2062"/>
      <c r="M33" s="2062"/>
    </row>
    <row r="34" spans="1:18" ht="18" customHeight="1">
      <c r="A34" s="1636" t="s">
        <v>1830</v>
      </c>
      <c r="B34" s="340" t="s">
        <v>1795</v>
      </c>
      <c r="C34" s="54">
        <f ca="1">ROUND(F34*F35/10000,1)</f>
        <v>6.1</v>
      </c>
      <c r="D34" s="813" t="s">
        <v>1796</v>
      </c>
      <c r="E34" s="783" t="s">
        <v>1797</v>
      </c>
      <c r="F34" s="639">
        <f>'数据-取费表'!B52</f>
        <v>1.5</v>
      </c>
      <c r="G34" s="2047"/>
      <c r="H34" s="2050"/>
      <c r="I34" s="834" t="s">
        <v>1810</v>
      </c>
      <c r="J34" s="835"/>
      <c r="K34" s="2065"/>
      <c r="L34" s="2064"/>
      <c r="M34" s="2064"/>
    </row>
    <row r="35" spans="1:18" ht="18" customHeight="1">
      <c r="A35" s="814"/>
      <c r="B35" s="792"/>
      <c r="C35" s="69"/>
      <c r="D35" s="815"/>
      <c r="E35" s="783" t="s">
        <v>1798</v>
      </c>
      <c r="F35" s="784">
        <f ca="1">INDIRECT("'数据-取费表'!r"&amp;$G$1)</f>
        <v>40700</v>
      </c>
      <c r="G35" s="2047"/>
      <c r="H35" s="2050"/>
      <c r="I35" s="836" t="s">
        <v>1811</v>
      </c>
      <c r="J35" s="837">
        <f ca="1">ROUND(C13*J36,0)</f>
        <v>74</v>
      </c>
      <c r="K35" s="2063"/>
      <c r="L35" s="2062"/>
      <c r="M35" s="2062"/>
    </row>
    <row r="36" spans="1:18" ht="18" customHeight="1">
      <c r="A36" s="1634" t="s">
        <v>1886</v>
      </c>
      <c r="B36" s="783" t="s">
        <v>1799</v>
      </c>
      <c r="C36" s="53">
        <f ca="1">ROUND(C29*F36,1)</f>
        <v>17.100000000000001</v>
      </c>
      <c r="D36" s="1962" t="s">
        <v>1800</v>
      </c>
      <c r="E36" s="783" t="s">
        <v>1793</v>
      </c>
      <c r="F36" s="816">
        <f ca="1">INDIRECT("'数据-取费表'!Ak"&amp;$G$1)</f>
        <v>1.4999999999999999E-2</v>
      </c>
      <c r="G36" s="2047"/>
      <c r="H36" s="2062"/>
      <c r="I36" s="838" t="s">
        <v>1812</v>
      </c>
      <c r="J36" s="839">
        <f ca="1">INDIRECT("'数据-取费表'!j"&amp;$G$1)</f>
        <v>6.5000000000000002E-2</v>
      </c>
      <c r="K36" s="2067"/>
      <c r="L36" s="2062"/>
      <c r="M36" s="2062"/>
    </row>
    <row r="37" spans="1:18" ht="18" customHeight="1">
      <c r="A37" s="1634" t="s">
        <v>1887</v>
      </c>
      <c r="B37" s="783" t="s">
        <v>676</v>
      </c>
      <c r="C37" s="53">
        <f ca="1">ROUND(C13*F37,1)</f>
        <v>1.7</v>
      </c>
      <c r="D37" s="1962" t="s">
        <v>1801</v>
      </c>
      <c r="E37" s="783" t="s">
        <v>1793</v>
      </c>
      <c r="F37" s="817">
        <f ca="1">INDIRECT("'数据-取费表'!Al"&amp;$G$1)</f>
        <v>1.5E-3</v>
      </c>
      <c r="G37" s="2047"/>
      <c r="H37" s="2062"/>
      <c r="I37" s="840" t="s">
        <v>1813</v>
      </c>
      <c r="J37" s="841"/>
      <c r="K37" s="2067"/>
      <c r="L37" s="2062"/>
      <c r="M37" s="2062"/>
    </row>
    <row r="38" spans="1:18" ht="18" customHeight="1" thickBot="1">
      <c r="A38" s="2515" t="s">
        <v>1888</v>
      </c>
      <c r="B38" s="2510" t="s">
        <v>663</v>
      </c>
      <c r="C38" s="2508">
        <f ca="1">ROUND(C5*F38,1)</f>
        <v>0.7</v>
      </c>
      <c r="D38" s="2509" t="s">
        <v>1802</v>
      </c>
      <c r="E38" s="2510" t="s">
        <v>1793</v>
      </c>
      <c r="F38" s="2506">
        <f ca="1">INDIRECT("'数据-取费表'!Am"&amp;$G$1)</f>
        <v>0.01</v>
      </c>
      <c r="G38" s="2047"/>
      <c r="H38" s="2062"/>
      <c r="I38" s="842" t="s">
        <v>1814</v>
      </c>
      <c r="J38" s="843"/>
      <c r="K38" s="2068"/>
      <c r="L38" s="2062"/>
      <c r="M38" s="2062"/>
    </row>
    <row r="39" spans="1:18" ht="24.6" customHeight="1" thickTop="1">
      <c r="A39" s="1814" t="s">
        <v>1891</v>
      </c>
      <c r="B39" s="2962" t="s">
        <v>2818</v>
      </c>
      <c r="C39" s="791">
        <f ca="1">C5-C30</f>
        <v>34</v>
      </c>
      <c r="D39" s="2512" t="s">
        <v>1803</v>
      </c>
      <c r="E39" s="2513"/>
      <c r="F39" s="2514"/>
      <c r="G39" s="2047"/>
      <c r="H39" s="2062"/>
      <c r="I39" s="836" t="s">
        <v>1815</v>
      </c>
      <c r="J39" s="844">
        <f ca="1">ROUND(J35/C39,3)</f>
        <v>2.1760000000000002</v>
      </c>
      <c r="K39" s="2068"/>
      <c r="L39" s="2062"/>
      <c r="M39" s="2062"/>
    </row>
    <row r="40" spans="1:18" ht="18" customHeight="1">
      <c r="A40" s="780" t="s">
        <v>1892</v>
      </c>
      <c r="B40" s="2217" t="s">
        <v>2298</v>
      </c>
      <c r="C40" s="782">
        <f ca="1">ROUND(C39*(1-((1+F42)/(1+F40))^F41)/(F40-F42),0)</f>
        <v>1163</v>
      </c>
      <c r="D40" s="813" t="s">
        <v>1804</v>
      </c>
      <c r="E40" s="783" t="s">
        <v>2416</v>
      </c>
      <c r="F40" s="793">
        <f ca="1">INDIRECT("'数据-取费表'!I"&amp;$G$1)</f>
        <v>0.05</v>
      </c>
      <c r="G40" s="2047"/>
      <c r="H40" s="2047"/>
      <c r="I40" s="836" t="s">
        <v>1816</v>
      </c>
      <c r="J40" s="844">
        <f ca="1">1-J39</f>
        <v>-1.1760000000000002</v>
      </c>
      <c r="K40" s="2068"/>
      <c r="L40" s="2047"/>
      <c r="M40" s="2047"/>
    </row>
    <row r="41" spans="1:18" ht="18" customHeight="1">
      <c r="A41" s="785"/>
      <c r="B41" s="786"/>
      <c r="C41" s="787"/>
      <c r="D41" s="820" t="s">
        <v>1805</v>
      </c>
      <c r="E41" s="783" t="s">
        <v>2960</v>
      </c>
      <c r="F41" s="821">
        <f ca="1">IF(INDIRECT("'数据-取费表'!af"&amp;$G$1)=0,INDIRECT("'数据-取费表'!ae"&amp;$G$1),INDIRECT("'数据-取费表'!af"&amp;$G$1))</f>
        <v>50</v>
      </c>
      <c r="G41" s="2047"/>
      <c r="H41" s="1973"/>
      <c r="I41" s="842" t="s">
        <v>1817</v>
      </c>
      <c r="J41" s="845"/>
      <c r="K41" s="2067"/>
      <c r="L41" s="1973"/>
      <c r="M41" s="1973"/>
    </row>
    <row r="42" spans="1:18" ht="18" customHeight="1">
      <c r="A42" s="789"/>
      <c r="B42" s="790"/>
      <c r="C42" s="791"/>
      <c r="D42" s="815"/>
      <c r="E42" s="783" t="s">
        <v>1806</v>
      </c>
      <c r="F42" s="793">
        <f ca="1">INDIRECT("'数据-取费表'!v"&amp;$G$1)</f>
        <v>3.5000000000000003E-2</v>
      </c>
      <c r="G42" s="2047"/>
      <c r="H42" s="1973"/>
      <c r="I42" s="846" t="s">
        <v>1818</v>
      </c>
      <c r="J42" s="844">
        <f ca="1">ROUND(C13/C40,3)</f>
        <v>0.97799999999999998</v>
      </c>
      <c r="K42" s="2067"/>
      <c r="L42" s="1973"/>
      <c r="M42" s="1973"/>
    </row>
    <row r="43" spans="1:18" ht="18" customHeight="1" thickBot="1">
      <c r="A43" s="822" t="s">
        <v>1784</v>
      </c>
      <c r="B43" s="823" t="s">
        <v>1807</v>
      </c>
      <c r="C43" s="824">
        <f ca="1">ROUND(C40*10000/F43,0)</f>
        <v>2837</v>
      </c>
      <c r="D43" s="825" t="s">
        <v>1808</v>
      </c>
      <c r="E43" s="826" t="s">
        <v>1809</v>
      </c>
      <c r="F43" s="827">
        <f ca="1">INDIRECT("'数据-取费表'!k"&amp;$G$1)</f>
        <v>4100</v>
      </c>
      <c r="G43" s="2047"/>
      <c r="H43" s="1973"/>
      <c r="I43" s="846" t="s">
        <v>1819</v>
      </c>
      <c r="J43" s="847">
        <f ca="1">1-J42</f>
        <v>2.200000000000002E-2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-1802</v>
      </c>
      <c r="D46" s="2070"/>
      <c r="E46" s="2070"/>
      <c r="F46" s="2070"/>
      <c r="I46" s="2342" t="s">
        <v>2340</v>
      </c>
      <c r="J46" s="2343"/>
      <c r="K46" s="2344"/>
      <c r="L46" s="3108" t="str">
        <f ca="1">IF(OR(M47="住宅",D1="土地（套用方法）"),0,IF(L48&gt;J51,L60,J60))</f>
        <v>0</v>
      </c>
      <c r="O46" s="2358" t="s">
        <v>2407</v>
      </c>
      <c r="P46" s="1578"/>
      <c r="Q46" s="1589"/>
      <c r="R46" s="1578"/>
    </row>
    <row r="47" spans="1:18" s="2044" customFormat="1" ht="18" customHeight="1" thickBot="1">
      <c r="A47" s="2336">
        <v>1</v>
      </c>
      <c r="B47" s="2337" t="s">
        <v>632</v>
      </c>
      <c r="C47" s="2538">
        <f ca="1">C48+C52+C54</f>
        <v>0</v>
      </c>
      <c r="D47" s="2070"/>
      <c r="E47" s="2070"/>
      <c r="F47" s="2070"/>
      <c r="I47" s="3099" t="s">
        <v>2341</v>
      </c>
      <c r="J47" s="2345" t="s">
        <v>3255</v>
      </c>
      <c r="K47" s="3105" t="s">
        <v>2346</v>
      </c>
      <c r="L47" s="3109">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633</v>
      </c>
      <c r="E48" s="2340" t="s">
        <v>2293</v>
      </c>
      <c r="F48" s="2341"/>
      <c r="G48" s="2075"/>
      <c r="I48" s="3078" t="s">
        <v>2342</v>
      </c>
      <c r="J48" s="2346" t="s">
        <v>2347</v>
      </c>
      <c r="K48" s="3106" t="s">
        <v>2348</v>
      </c>
      <c r="L48" s="1893">
        <f ca="1">INDIRECT("'数据-取费表'!f"&amp;$G$1)</f>
        <v>50</v>
      </c>
      <c r="O48" s="2362" t="s">
        <v>2376</v>
      </c>
      <c r="P48" s="2363" t="s">
        <v>2402</v>
      </c>
      <c r="Q48" s="2364">
        <f ca="1">C40+J29</f>
        <v>1163</v>
      </c>
      <c r="R48" s="2363" t="s">
        <v>2377</v>
      </c>
    </row>
    <row r="49" spans="1:18" s="2044" customFormat="1" ht="18" customHeight="1" thickBot="1">
      <c r="A49" s="785"/>
      <c r="B49" s="786"/>
      <c r="C49" s="787"/>
      <c r="D49" s="788"/>
      <c r="E49" s="783" t="s">
        <v>1736</v>
      </c>
      <c r="F49" s="784">
        <f ca="1">F7</f>
        <v>117</v>
      </c>
      <c r="G49" s="2075"/>
      <c r="H49" s="2078"/>
      <c r="I49" s="3078" t="s">
        <v>2343</v>
      </c>
      <c r="J49" s="2347"/>
      <c r="K49" s="3107" t="s">
        <v>2349</v>
      </c>
      <c r="L49" s="2348"/>
      <c r="O49" s="2362" t="s">
        <v>2378</v>
      </c>
      <c r="P49" s="2363" t="s">
        <v>2403</v>
      </c>
      <c r="Q49" s="2364" t="str">
        <f ca="1">J60</f>
        <v>0</v>
      </c>
      <c r="R49" s="2363" t="s">
        <v>2379</v>
      </c>
    </row>
    <row r="50" spans="1:18" s="2044" customFormat="1" ht="18" customHeight="1" thickBot="1">
      <c r="A50" s="785"/>
      <c r="B50" s="786"/>
      <c r="C50" s="787"/>
      <c r="D50" s="788"/>
      <c r="E50" s="783" t="s">
        <v>1737</v>
      </c>
      <c r="F50" s="784">
        <f ca="1">F8</f>
        <v>12</v>
      </c>
      <c r="G50" s="2080"/>
      <c r="H50" s="2078"/>
      <c r="I50" s="3078" t="s">
        <v>2344</v>
      </c>
      <c r="J50" s="3103">
        <f>SUMPRODUCT((I63:I65=J47)*(J62:L62=J48)*(J63:L65))</f>
        <v>60</v>
      </c>
      <c r="K50" s="3107" t="s">
        <v>2350</v>
      </c>
      <c r="L50" s="2348"/>
      <c r="O50" s="2365" t="s">
        <v>2380</v>
      </c>
      <c r="P50" s="2363" t="s">
        <v>2404</v>
      </c>
      <c r="Q50" s="2364">
        <f ca="1">C29</f>
        <v>1137</v>
      </c>
      <c r="R50" s="2363" t="s">
        <v>2377</v>
      </c>
    </row>
    <row r="51" spans="1:18" s="2044" customFormat="1" ht="18" customHeight="1" thickBot="1">
      <c r="A51" s="785"/>
      <c r="B51" s="786"/>
      <c r="C51" s="787"/>
      <c r="D51" s="788"/>
      <c r="E51" s="783" t="s">
        <v>637</v>
      </c>
      <c r="F51" s="2335"/>
      <c r="H51" s="2078"/>
      <c r="I51" s="3100" t="s">
        <v>2345</v>
      </c>
      <c r="J51" s="3104">
        <f>IF(J49="",J50,J49+J50-YEAR('数据-取费表'!B2))</f>
        <v>60</v>
      </c>
      <c r="K51" s="3078" t="s">
        <v>2351</v>
      </c>
      <c r="L51" s="3110">
        <f ca="1">ROUND(-PV(INDIRECT("'数据-取费表'!h"&amp;$G$1),L48,(C39-C13*J36),0),0)</f>
        <v>-789</v>
      </c>
      <c r="O51" s="2365" t="s">
        <v>2381</v>
      </c>
      <c r="P51" s="2363" t="s">
        <v>2382</v>
      </c>
      <c r="Q51" s="2366" t="e">
        <f ca="1">J58</f>
        <v>#VALUE!</v>
      </c>
      <c r="R51" s="2367"/>
    </row>
    <row r="52" spans="1:18" s="2044" customFormat="1" ht="18" customHeight="1" thickBot="1">
      <c r="A52" s="780" t="s">
        <v>2533</v>
      </c>
      <c r="B52" s="2458" t="s">
        <v>2456</v>
      </c>
      <c r="C52" s="798">
        <f ca="1">ROUND(IF(F52="押一",C48/12*F11,IF(F52="押二",C48/12*2*F11,IF(F52="押三",C48/12*3*F11,C53*F11))),0)</f>
        <v>0</v>
      </c>
      <c r="D52" s="2465" t="s">
        <v>2971</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3102" t="s">
        <v>2974</v>
      </c>
      <c r="J53" s="3181">
        <f ca="1">IF(M47="住宅",IF(D1="——",MAX(J51,L48),MAX(J51,L48-'数据-取费表'!B20)),IF(D1="——",MIN(J51,L48),MIN(J51,L48-'数据-取费表'!B20)))</f>
        <v>50</v>
      </c>
      <c r="K53" s="3514" t="s">
        <v>2962</v>
      </c>
      <c r="L53" s="3515"/>
      <c r="O53" s="2365" t="s">
        <v>2385</v>
      </c>
      <c r="P53" s="2363" t="s">
        <v>2386</v>
      </c>
      <c r="Q53" s="2364">
        <f ca="1">J53</f>
        <v>50</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1163</v>
      </c>
      <c r="R54" s="2367" t="s">
        <v>2389</v>
      </c>
    </row>
    <row r="55" spans="1:18" s="2044" customFormat="1" ht="18" customHeight="1" thickTop="1" thickBot="1">
      <c r="A55" s="796">
        <v>2</v>
      </c>
      <c r="B55" s="797" t="s">
        <v>641</v>
      </c>
      <c r="C55" s="798">
        <f ca="1">C13</f>
        <v>1137</v>
      </c>
      <c r="D55" s="794"/>
      <c r="E55" s="794"/>
      <c r="F55" s="799"/>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2299</v>
      </c>
      <c r="C56" s="53">
        <f ca="1">C29</f>
        <v>1137</v>
      </c>
      <c r="D56" s="2603"/>
      <c r="E56" s="783"/>
      <c r="F56" s="808"/>
      <c r="I56" s="3115" t="s">
        <v>2354</v>
      </c>
      <c r="J56" s="3125" t="s">
        <v>1675</v>
      </c>
      <c r="K56" s="3078" t="s">
        <v>2359</v>
      </c>
      <c r="L56" s="1893" t="str">
        <f ca="1">IF(L48&lt;J51,"——",L48-J51)</f>
        <v>——</v>
      </c>
      <c r="O56" s="2359" t="s">
        <v>2372</v>
      </c>
      <c r="P56" s="2360" t="s">
        <v>2373</v>
      </c>
      <c r="Q56" s="2361" t="s">
        <v>2374</v>
      </c>
      <c r="R56" s="2360" t="s">
        <v>2375</v>
      </c>
    </row>
    <row r="57" spans="1:18" s="2044" customFormat="1" ht="28.5" customHeight="1" thickBot="1">
      <c r="A57" s="796" t="s">
        <v>1745</v>
      </c>
      <c r="B57" s="797" t="s">
        <v>648</v>
      </c>
      <c r="C57" s="798">
        <f ca="1">ROUND(C58+C63+C64+C65,0)</f>
        <v>35</v>
      </c>
      <c r="D57" s="26" t="s">
        <v>1747</v>
      </c>
      <c r="E57" s="2604"/>
      <c r="F57" s="56"/>
      <c r="I57" s="3116" t="s">
        <v>2355</v>
      </c>
      <c r="J57" s="3117" t="str">
        <f ca="1">IF(OR(M47="住宅",J51&lt;L48,J56="是"),"——",J51-L48)</f>
        <v>——</v>
      </c>
      <c r="K57" s="3078" t="s">
        <v>2360</v>
      </c>
      <c r="L57" s="1893" t="str">
        <f ca="1">IF(L48&lt;J51,"——",IF(L55="比较法",L49,IF(L55="基准地价",L50,L51)))</f>
        <v>——</v>
      </c>
      <c r="O57" s="2362" t="s">
        <v>2376</v>
      </c>
      <c r="P57" s="2363" t="s">
        <v>2406</v>
      </c>
      <c r="Q57" s="2364">
        <f ca="1">C40+J29</f>
        <v>1163</v>
      </c>
      <c r="R57" s="2363" t="s">
        <v>2377</v>
      </c>
    </row>
    <row r="58" spans="1:18" s="2044" customFormat="1" ht="28.5" customHeight="1" thickBot="1">
      <c r="A58" s="1634" t="s">
        <v>1821</v>
      </c>
      <c r="B58" s="783" t="s">
        <v>653</v>
      </c>
      <c r="C58" s="53">
        <f ca="1">ROUND(IF(项目基本情况!B11="自然人",C47*F58,C59+C60+C61),1)</f>
        <v>15.7</v>
      </c>
      <c r="D58" s="2602" t="s">
        <v>654</v>
      </c>
      <c r="E58" s="2603" t="s">
        <v>687</v>
      </c>
      <c r="F58" s="809">
        <f ca="1">IF(项目基本情况!B11="企业","",IF(INDIRECT("'数据-取费表'!c"&amp;$G$1)="住宅",5%,IF(F48*F49*F50/12/(1+'数据-取费表'!C42)&gt;20000,12%,7%)))</f>
        <v>7.0000000000000007E-2</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1828</v>
      </c>
      <c r="B59" s="783" t="s">
        <v>657</v>
      </c>
      <c r="C59" s="53">
        <f ca="1">ROUND(C47*F59/1.05,1)</f>
        <v>0</v>
      </c>
      <c r="D59" s="2603" t="s">
        <v>1753</v>
      </c>
      <c r="E59" s="783" t="s">
        <v>1744</v>
      </c>
      <c r="F59" s="808">
        <f t="shared" ref="F59:F65" si="0">F32</f>
        <v>5.5000000000000007E-2</v>
      </c>
      <c r="I59" s="3116" t="s">
        <v>2357</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1829</v>
      </c>
      <c r="B60" s="783" t="s">
        <v>1755</v>
      </c>
      <c r="C60" s="53">
        <f ca="1">IF(D60="按租金收入计税",ROUND(C47*F60,1),IF(D60="按房产原值计税",ROUND(C56*F60*0.7,1),INDIRECT("'数据-取费表'!Aj"&amp;$G$1)))</f>
        <v>9.6</v>
      </c>
      <c r="D60" s="2603" t="str">
        <f>D33</f>
        <v>按房产原值计税</v>
      </c>
      <c r="E60" s="783" t="s">
        <v>1744</v>
      </c>
      <c r="F60" s="808">
        <f t="shared" si="0"/>
        <v>1.2E-2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1830</v>
      </c>
      <c r="B61" s="340" t="s">
        <v>665</v>
      </c>
      <c r="C61" s="54">
        <f ca="1">ROUND(F61*F62/10000,1)</f>
        <v>6.1</v>
      </c>
      <c r="D61" s="813" t="s">
        <v>666</v>
      </c>
      <c r="E61" s="783" t="s">
        <v>667</v>
      </c>
      <c r="F61" s="639">
        <f t="shared" si="0"/>
        <v>1.5</v>
      </c>
      <c r="K61" s="2071"/>
      <c r="O61" s="2365" t="s">
        <v>2383</v>
      </c>
      <c r="P61" s="2363" t="s">
        <v>2391</v>
      </c>
      <c r="Q61" s="2364" t="e">
        <f ca="1">L58</f>
        <v>#DIV/0!</v>
      </c>
      <c r="R61" s="2367" t="s">
        <v>2392</v>
      </c>
    </row>
    <row r="62" spans="1:18" s="2044" customFormat="1" ht="15.75" thickBot="1">
      <c r="A62" s="814"/>
      <c r="B62" s="792"/>
      <c r="C62" s="69"/>
      <c r="D62" s="815"/>
      <c r="E62" s="783" t="s">
        <v>671</v>
      </c>
      <c r="F62" s="784">
        <f t="shared" ca="1" si="0"/>
        <v>40700</v>
      </c>
      <c r="I62" s="3121" t="s">
        <v>2364</v>
      </c>
      <c r="J62" s="3122" t="s">
        <v>2365</v>
      </c>
      <c r="K62" s="3122" t="s">
        <v>2366</v>
      </c>
      <c r="L62" s="3122" t="s">
        <v>2347</v>
      </c>
      <c r="M62" s="3123" t="s">
        <v>2940</v>
      </c>
      <c r="O62" s="2365" t="s">
        <v>2385</v>
      </c>
      <c r="P62" s="2363" t="str">
        <f>K59</f>
        <v>建筑物剩余耐用年限下的土地年期修正系数Kn</v>
      </c>
      <c r="Q62" s="2364" t="e">
        <f ca="1">L59</f>
        <v>#DIV/0!</v>
      </c>
      <c r="R62" s="2367" t="s">
        <v>2394</v>
      </c>
    </row>
    <row r="63" spans="1:18" s="2044" customFormat="1" ht="15.75" thickBot="1">
      <c r="A63" s="1634" t="s">
        <v>1886</v>
      </c>
      <c r="B63" s="783" t="s">
        <v>673</v>
      </c>
      <c r="C63" s="53">
        <f ca="1">ROUND(C56*F63,1)</f>
        <v>17.100000000000001</v>
      </c>
      <c r="D63" s="2603" t="s">
        <v>1800</v>
      </c>
      <c r="E63" s="783" t="s">
        <v>1744</v>
      </c>
      <c r="F63" s="816">
        <f t="shared" ca="1" si="0"/>
        <v>1.4999999999999999E-2</v>
      </c>
      <c r="I63" s="3121" t="s">
        <v>2367</v>
      </c>
      <c r="J63" s="3122">
        <v>70</v>
      </c>
      <c r="K63" s="3122">
        <v>50</v>
      </c>
      <c r="L63" s="3122">
        <v>80</v>
      </c>
      <c r="M63" s="3124">
        <v>0.02</v>
      </c>
      <c r="O63" s="2362" t="s">
        <v>2388</v>
      </c>
      <c r="P63" s="2363" t="s">
        <v>2405</v>
      </c>
      <c r="Q63" s="2364">
        <f ca="1">Q57+Q58</f>
        <v>1163</v>
      </c>
      <c r="R63" s="2367" t="s">
        <v>2389</v>
      </c>
    </row>
    <row r="64" spans="1:18" s="2044" customFormat="1" ht="16.5" thickBot="1">
      <c r="A64" s="1634" t="s">
        <v>1887</v>
      </c>
      <c r="B64" s="783" t="s">
        <v>676</v>
      </c>
      <c r="C64" s="53">
        <f ca="1">ROUND(C55*F64,1)</f>
        <v>1.7</v>
      </c>
      <c r="D64" s="2603" t="s">
        <v>677</v>
      </c>
      <c r="E64" s="783" t="s">
        <v>1744</v>
      </c>
      <c r="F64" s="817">
        <f t="shared" ca="1" si="0"/>
        <v>1.5E-3</v>
      </c>
      <c r="I64" s="3121" t="s">
        <v>2368</v>
      </c>
      <c r="J64" s="3122">
        <v>50</v>
      </c>
      <c r="K64" s="3122">
        <v>35</v>
      </c>
      <c r="L64" s="3122">
        <v>60</v>
      </c>
      <c r="M64" s="845">
        <v>0</v>
      </c>
      <c r="O64" s="2368" t="s">
        <v>2412</v>
      </c>
      <c r="P64" s="1578"/>
      <c r="Q64" s="1589"/>
      <c r="R64" s="1578"/>
    </row>
    <row r="65" spans="1:18" s="2044" customFormat="1" ht="15.75" thickBot="1">
      <c r="A65" s="1634" t="s">
        <v>1888</v>
      </c>
      <c r="B65" s="783" t="s">
        <v>663</v>
      </c>
      <c r="C65" s="53">
        <f ca="1">ROUND(C47*F65,1)</f>
        <v>0</v>
      </c>
      <c r="D65" s="2603" t="s">
        <v>680</v>
      </c>
      <c r="E65" s="783" t="s">
        <v>1744</v>
      </c>
      <c r="F65" s="793">
        <f t="shared" ca="1" si="0"/>
        <v>0.01</v>
      </c>
      <c r="I65" s="3121" t="s">
        <v>2369</v>
      </c>
      <c r="J65" s="3122">
        <v>40</v>
      </c>
      <c r="K65" s="3122">
        <v>30</v>
      </c>
      <c r="L65" s="3122">
        <v>50</v>
      </c>
      <c r="M65" s="3124">
        <v>0.02</v>
      </c>
      <c r="O65" s="2359" t="s">
        <v>2372</v>
      </c>
      <c r="P65" s="2360" t="s">
        <v>2373</v>
      </c>
      <c r="Q65" s="2361" t="s">
        <v>2374</v>
      </c>
      <c r="R65" s="2360" t="s">
        <v>2375</v>
      </c>
    </row>
    <row r="66" spans="1:18" s="2044" customFormat="1" ht="24.75" thickBot="1">
      <c r="A66" s="796" t="s">
        <v>1773</v>
      </c>
      <c r="B66" s="2963" t="s">
        <v>2818</v>
      </c>
      <c r="C66" s="798">
        <f ca="1">C47-C57</f>
        <v>-35</v>
      </c>
      <c r="D66" s="2602" t="s">
        <v>697</v>
      </c>
      <c r="E66" s="2601"/>
      <c r="F66" s="819"/>
      <c r="K66" s="2071"/>
      <c r="O66" s="2362" t="s">
        <v>2376</v>
      </c>
      <c r="P66" s="2363" t="s">
        <v>2406</v>
      </c>
      <c r="Q66" s="2364">
        <f ca="1">C40+J29</f>
        <v>1163</v>
      </c>
      <c r="R66" s="2363" t="s">
        <v>2377</v>
      </c>
    </row>
    <row r="67" spans="1:18" s="2044" customFormat="1" ht="20.25" thickBot="1">
      <c r="A67" s="780" t="s">
        <v>1777</v>
      </c>
      <c r="B67" s="2217" t="s">
        <v>2298</v>
      </c>
      <c r="C67" s="782">
        <f ca="1">ROUND(C66*(1-((1+F69)/(1+F67))^F68)/(F67-F69),0)</f>
        <v>-639</v>
      </c>
      <c r="D67" s="813" t="s">
        <v>701</v>
      </c>
      <c r="E67" s="783" t="s">
        <v>702</v>
      </c>
      <c r="F67" s="793">
        <f ca="1">F40</f>
        <v>0.05</v>
      </c>
      <c r="K67" s="2071"/>
      <c r="O67" s="2362" t="s">
        <v>2378</v>
      </c>
      <c r="P67" s="2363" t="s">
        <v>2409</v>
      </c>
      <c r="Q67" s="2364">
        <f ca="1">L60</f>
        <v>0</v>
      </c>
      <c r="R67" s="2367" t="s">
        <v>2411</v>
      </c>
    </row>
    <row r="68" spans="1:18" ht="21.75" thickBot="1">
      <c r="A68" s="785"/>
      <c r="B68" s="786"/>
      <c r="C68" s="787"/>
      <c r="D68" s="820" t="s">
        <v>1805</v>
      </c>
      <c r="E68" s="783" t="s">
        <v>1781</v>
      </c>
      <c r="F68" s="821">
        <f ca="1">F41</f>
        <v>50</v>
      </c>
      <c r="O68" s="2365" t="s">
        <v>2380</v>
      </c>
      <c r="P68" s="2363" t="s">
        <v>2410</v>
      </c>
      <c r="Q68" s="2369">
        <f ca="1">L51</f>
        <v>-789</v>
      </c>
      <c r="R68" s="2370" t="s">
        <v>2413</v>
      </c>
    </row>
    <row r="69" spans="1:18" ht="20.25" thickBot="1">
      <c r="A69" s="789"/>
      <c r="B69" s="790"/>
      <c r="C69" s="791"/>
      <c r="D69" s="815"/>
      <c r="E69" s="783" t="s">
        <v>707</v>
      </c>
      <c r="F69" s="2335"/>
      <c r="O69" s="2365" t="s">
        <v>2381</v>
      </c>
      <c r="P69" s="2371" t="s">
        <v>2395</v>
      </c>
      <c r="Q69" s="2364">
        <f ca="1">ROUND(Q70-Q71*Q72,0)</f>
        <v>-40</v>
      </c>
      <c r="R69" s="2367"/>
    </row>
    <row r="70" spans="1:18" ht="15.75" thickBot="1">
      <c r="A70" s="822" t="s">
        <v>1784</v>
      </c>
      <c r="B70" s="823" t="s">
        <v>1807</v>
      </c>
      <c r="C70" s="824">
        <f ca="1">ROUND(C67*10000/F70,0)</f>
        <v>-1559</v>
      </c>
      <c r="D70" s="825" t="s">
        <v>1808</v>
      </c>
      <c r="E70" s="826" t="s">
        <v>1809</v>
      </c>
      <c r="F70" s="827">
        <f ca="1">F43</f>
        <v>4100</v>
      </c>
      <c r="O70" s="2365" t="s">
        <v>2396</v>
      </c>
      <c r="P70" s="2371" t="s">
        <v>2397</v>
      </c>
      <c r="Q70" s="2364">
        <f ca="1">C39</f>
        <v>34</v>
      </c>
      <c r="R70" s="2363" t="s">
        <v>2377</v>
      </c>
    </row>
    <row r="71" spans="1:18" ht="15.75" thickBot="1">
      <c r="O71" s="2365" t="s">
        <v>2398</v>
      </c>
      <c r="P71" s="2371" t="s">
        <v>2399</v>
      </c>
      <c r="Q71" s="2364">
        <f ca="1">C13</f>
        <v>1137</v>
      </c>
      <c r="R71" s="2363" t="s">
        <v>2377</v>
      </c>
    </row>
    <row r="72" spans="1:18" ht="15.75" thickBot="1">
      <c r="O72" s="2365" t="s">
        <v>2400</v>
      </c>
      <c r="P72" s="2371" t="s">
        <v>2401</v>
      </c>
      <c r="Q72" s="2366">
        <f ca="1">J36</f>
        <v>6.5000000000000002E-2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1163</v>
      </c>
      <c r="R76" s="2367"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2" t="s">
        <v>2468</v>
      </c>
      <c r="B1" s="3533"/>
      <c r="C1" s="3534"/>
      <c r="D1" s="3535">
        <f>SUM(I10,I15,I20,I21,I23)</f>
        <v>0</v>
      </c>
      <c r="E1" s="3535"/>
      <c r="F1" s="3535"/>
      <c r="G1" s="3535"/>
      <c r="H1" s="3535"/>
      <c r="I1" s="3536"/>
    </row>
    <row r="2" spans="1:9">
      <c r="A2" s="3522" t="s">
        <v>2469</v>
      </c>
      <c r="B2" s="3523" t="s">
        <v>2470</v>
      </c>
      <c r="C2" s="3523"/>
      <c r="D2" s="2471" t="s">
        <v>2471</v>
      </c>
      <c r="E2" s="2471" t="s">
        <v>2472</v>
      </c>
      <c r="F2" s="2471" t="s">
        <v>2473</v>
      </c>
      <c r="G2" s="2471" t="s">
        <v>2474</v>
      </c>
      <c r="H2" s="2471" t="s">
        <v>2475</v>
      </c>
      <c r="I2" s="2472" t="s">
        <v>2476</v>
      </c>
    </row>
    <row r="3" spans="1:9">
      <c r="A3" s="3522"/>
      <c r="B3" s="3523" t="s">
        <v>2477</v>
      </c>
      <c r="C3" s="3523"/>
      <c r="D3" s="2473"/>
      <c r="E3" s="2471"/>
      <c r="F3" s="2474"/>
      <c r="G3" s="2474"/>
      <c r="H3" s="2475"/>
      <c r="I3" s="2476">
        <f>ROUND(D3*E3*F3*G3*H3/10000,0)</f>
        <v>0</v>
      </c>
    </row>
    <row r="4" spans="1:9">
      <c r="A4" s="3522"/>
      <c r="B4" s="3523" t="s">
        <v>2478</v>
      </c>
      <c r="C4" s="3523"/>
      <c r="D4" s="2473"/>
      <c r="E4" s="2471"/>
      <c r="F4" s="2474"/>
      <c r="G4" s="2474"/>
      <c r="H4" s="2475"/>
      <c r="I4" s="2476">
        <f t="shared" ref="I4:I9" si="0">ROUND(D4*E4*F4*G4*H4/10000,0)</f>
        <v>0</v>
      </c>
    </row>
    <row r="5" spans="1:9">
      <c r="A5" s="3522"/>
      <c r="B5" s="3523" t="s">
        <v>2479</v>
      </c>
      <c r="C5" s="3523"/>
      <c r="D5" s="2473"/>
      <c r="E5" s="2471"/>
      <c r="F5" s="2474"/>
      <c r="G5" s="2474"/>
      <c r="H5" s="2475"/>
      <c r="I5" s="2476">
        <f t="shared" si="0"/>
        <v>0</v>
      </c>
    </row>
    <row r="6" spans="1:9">
      <c r="A6" s="3522"/>
      <c r="B6" s="3523" t="s">
        <v>2480</v>
      </c>
      <c r="C6" s="3523"/>
      <c r="D6" s="2473"/>
      <c r="E6" s="2471"/>
      <c r="F6" s="2474"/>
      <c r="G6" s="2474"/>
      <c r="H6" s="2475"/>
      <c r="I6" s="2476">
        <f t="shared" si="0"/>
        <v>0</v>
      </c>
    </row>
    <row r="7" spans="1:9">
      <c r="A7" s="3522"/>
      <c r="B7" s="3523" t="s">
        <v>2481</v>
      </c>
      <c r="C7" s="3523"/>
      <c r="D7" s="2473"/>
      <c r="E7" s="2471"/>
      <c r="F7" s="2474"/>
      <c r="G7" s="2474"/>
      <c r="H7" s="2475"/>
      <c r="I7" s="2476">
        <f t="shared" si="0"/>
        <v>0</v>
      </c>
    </row>
    <row r="8" spans="1:9">
      <c r="A8" s="3522"/>
      <c r="B8" s="3523" t="s">
        <v>2482</v>
      </c>
      <c r="C8" s="3523"/>
      <c r="D8" s="2473"/>
      <c r="E8" s="2471"/>
      <c r="F8" s="2474"/>
      <c r="G8" s="2474"/>
      <c r="H8" s="2475"/>
      <c r="I8" s="2476">
        <f t="shared" si="0"/>
        <v>0</v>
      </c>
    </row>
    <row r="9" spans="1:9">
      <c r="A9" s="3522"/>
      <c r="B9" s="3523" t="s">
        <v>2483</v>
      </c>
      <c r="C9" s="3523"/>
      <c r="D9" s="2473"/>
      <c r="E9" s="2471"/>
      <c r="F9" s="2474"/>
      <c r="G9" s="2474"/>
      <c r="H9" s="2475"/>
      <c r="I9" s="2476">
        <f t="shared" si="0"/>
        <v>0</v>
      </c>
    </row>
    <row r="10" spans="1:9">
      <c r="A10" s="3522"/>
      <c r="B10" s="3524" t="s">
        <v>2484</v>
      </c>
      <c r="C10" s="3524"/>
      <c r="D10" s="2477">
        <v>527</v>
      </c>
      <c r="E10" s="2477" t="e">
        <f>ROUND(D1*10000/D10/H9,0)</f>
        <v>#DIV/0!</v>
      </c>
      <c r="F10" s="2478"/>
      <c r="G10" s="2478"/>
      <c r="H10" s="2479"/>
      <c r="I10" s="2480">
        <f>SUM(I3:I9)</f>
        <v>0</v>
      </c>
    </row>
    <row r="11" spans="1:9" ht="14.25">
      <c r="A11" s="3522" t="s">
        <v>2485</v>
      </c>
      <c r="B11" s="3523" t="s">
        <v>2486</v>
      </c>
      <c r="C11" s="3523"/>
      <c r="D11" s="2473" t="s">
        <v>2487</v>
      </c>
      <c r="E11" s="2473" t="s">
        <v>2488</v>
      </c>
      <c r="F11" s="2474" t="s">
        <v>2489</v>
      </c>
      <c r="G11" s="2474" t="s">
        <v>2490</v>
      </c>
      <c r="H11" s="2481" t="s">
        <v>2491</v>
      </c>
      <c r="I11" s="2472" t="s">
        <v>2492</v>
      </c>
    </row>
    <row r="12" spans="1:9">
      <c r="A12" s="3522"/>
      <c r="B12" s="3523" t="s">
        <v>2493</v>
      </c>
      <c r="C12" s="3523"/>
      <c r="D12" s="2473"/>
      <c r="E12" s="2473"/>
      <c r="F12" s="2474"/>
      <c r="G12" s="2475"/>
      <c r="H12" s="2482"/>
      <c r="I12" s="2472">
        <f>ROUND(D12*E12*F12*G12/10000,0)</f>
        <v>0</v>
      </c>
    </row>
    <row r="13" spans="1:9">
      <c r="A13" s="3522"/>
      <c r="B13" s="3523" t="s">
        <v>2494</v>
      </c>
      <c r="C13" s="3523"/>
      <c r="D13" s="2473"/>
      <c r="E13" s="2473"/>
      <c r="F13" s="2474"/>
      <c r="G13" s="2475"/>
      <c r="H13" s="2482"/>
      <c r="I13" s="2472">
        <f>ROUND(D13*E13*F13*G13/10000,0)</f>
        <v>0</v>
      </c>
    </row>
    <row r="14" spans="1:9">
      <c r="A14" s="3522"/>
      <c r="B14" s="3523" t="s">
        <v>2495</v>
      </c>
      <c r="C14" s="3523"/>
      <c r="D14" s="2473"/>
      <c r="E14" s="2473"/>
      <c r="F14" s="2474"/>
      <c r="G14" s="2475"/>
      <c r="H14" s="2482"/>
      <c r="I14" s="2472">
        <f>ROUND(D14*E14*F14*G14/10000,0)</f>
        <v>0</v>
      </c>
    </row>
    <row r="15" spans="1:9">
      <c r="A15" s="3522"/>
      <c r="B15" s="3524" t="s">
        <v>2484</v>
      </c>
      <c r="C15" s="3524"/>
      <c r="D15" s="2477"/>
      <c r="E15" s="2477">
        <f>SUM(E12:E14)</f>
        <v>0</v>
      </c>
      <c r="F15" s="2478"/>
      <c r="G15" s="2475"/>
      <c r="H15" s="2482"/>
      <c r="I15" s="2483">
        <f>SUM(I12:I14)</f>
        <v>0</v>
      </c>
    </row>
    <row r="16" spans="1:9" ht="24">
      <c r="A16" s="3522" t="s">
        <v>2496</v>
      </c>
      <c r="B16" s="3523" t="s">
        <v>2497</v>
      </c>
      <c r="C16" s="3523"/>
      <c r="D16" s="2473" t="s">
        <v>2498</v>
      </c>
      <c r="E16" s="2484" t="s">
        <v>2499</v>
      </c>
      <c r="F16" s="2474" t="s">
        <v>2500</v>
      </c>
      <c r="G16" s="2475" t="s">
        <v>2490</v>
      </c>
      <c r="H16" s="2481" t="s">
        <v>2491</v>
      </c>
      <c r="I16" s="2472" t="s">
        <v>2492</v>
      </c>
    </row>
    <row r="17" spans="1:9" ht="14.25">
      <c r="A17" s="3522"/>
      <c r="B17" s="3523" t="s">
        <v>2501</v>
      </c>
      <c r="C17" s="3523"/>
      <c r="D17" s="2473"/>
      <c r="E17" s="2473"/>
      <c r="F17" s="2474"/>
      <c r="G17" s="2475"/>
      <c r="H17" s="2485"/>
      <c r="I17" s="2486">
        <f>ROUND(D17*E17*F17*G17/10000,0)</f>
        <v>0</v>
      </c>
    </row>
    <row r="18" spans="1:9" ht="14.25">
      <c r="A18" s="3522"/>
      <c r="B18" s="3523" t="s">
        <v>2502</v>
      </c>
      <c r="C18" s="3523"/>
      <c r="D18" s="2473"/>
      <c r="E18" s="2473"/>
      <c r="F18" s="2474"/>
      <c r="G18" s="2475"/>
      <c r="H18" s="2485"/>
      <c r="I18" s="2486">
        <f>ROUND(D18*E18*F18*G18/10000,0)</f>
        <v>0</v>
      </c>
    </row>
    <row r="19" spans="1:9" ht="14.25">
      <c r="A19" s="3522"/>
      <c r="B19" s="3523" t="s">
        <v>2503</v>
      </c>
      <c r="C19" s="3523"/>
      <c r="D19" s="2473"/>
      <c r="E19" s="2473"/>
      <c r="F19" s="2474"/>
      <c r="G19" s="2475"/>
      <c r="H19" s="2485"/>
      <c r="I19" s="2486">
        <f>ROUND(D19*E19*F19*G19/10000,0)</f>
        <v>0</v>
      </c>
    </row>
    <row r="20" spans="1:9">
      <c r="A20" s="3522"/>
      <c r="B20" s="3524" t="s">
        <v>2484</v>
      </c>
      <c r="C20" s="3524"/>
      <c r="D20" s="2477">
        <f>SUM(D17:D19)</f>
        <v>0</v>
      </c>
      <c r="E20" s="2477"/>
      <c r="F20" s="2478"/>
      <c r="G20" s="2475"/>
      <c r="H20" s="2482"/>
      <c r="I20" s="2483">
        <f>SUM(I17:I19)</f>
        <v>0</v>
      </c>
    </row>
    <row r="21" spans="1:9">
      <c r="A21" s="3522" t="s">
        <v>2504</v>
      </c>
      <c r="B21" s="3525"/>
      <c r="C21" s="3525"/>
      <c r="D21" s="3525"/>
      <c r="E21" s="3525"/>
      <c r="F21" s="3525"/>
      <c r="G21" s="3525"/>
      <c r="H21" s="2487">
        <v>0.1</v>
      </c>
      <c r="I21" s="2480">
        <f>ROUND(I10*H21,0)</f>
        <v>0</v>
      </c>
    </row>
    <row r="22" spans="1:9" ht="14.25">
      <c r="A22" s="3526" t="s">
        <v>2505</v>
      </c>
      <c r="B22" s="3527"/>
      <c r="C22" s="3528"/>
      <c r="D22" s="2488" t="s">
        <v>2506</v>
      </c>
      <c r="E22" s="2488" t="s">
        <v>2507</v>
      </c>
      <c r="F22" s="2489" t="s">
        <v>2508</v>
      </c>
      <c r="G22" s="2489" t="s">
        <v>2509</v>
      </c>
      <c r="H22" s="2481" t="s">
        <v>2510</v>
      </c>
      <c r="I22" s="2472" t="s">
        <v>2511</v>
      </c>
    </row>
    <row r="23" spans="1:9" ht="14.25" thickBot="1">
      <c r="A23" s="3529"/>
      <c r="B23" s="3530"/>
      <c r="C23" s="3531"/>
      <c r="D23" s="2490"/>
      <c r="E23" s="2490"/>
      <c r="F23" s="2490"/>
      <c r="G23" s="2491"/>
      <c r="H23" s="2492"/>
      <c r="I23" s="2493">
        <f>ROUND(E23*D23*F23*(1-G23)/10000,0)</f>
        <v>0</v>
      </c>
    </row>
    <row r="26" spans="1:9">
      <c r="A26" s="2494" t="s">
        <v>2512</v>
      </c>
      <c r="B26" s="2494"/>
      <c r="C26" s="2494"/>
      <c r="D26" s="2494"/>
      <c r="E26" s="3519">
        <f>C27-C30-C31-C32</f>
        <v>0</v>
      </c>
      <c r="F26" s="3519"/>
      <c r="G26" s="3519"/>
      <c r="H26" s="2995" t="s">
        <v>2839</v>
      </c>
    </row>
    <row r="27" spans="1:9">
      <c r="A27" s="2495">
        <v>1</v>
      </c>
      <c r="B27" s="2496" t="s">
        <v>2513</v>
      </c>
      <c r="C27" s="2496"/>
      <c r="D27" s="2496"/>
      <c r="E27" s="3520"/>
      <c r="F27" s="3520"/>
      <c r="G27" s="3520"/>
    </row>
    <row r="28" spans="1:9">
      <c r="A28" s="2497" t="s">
        <v>2514</v>
      </c>
      <c r="B28" s="2496" t="s">
        <v>2515</v>
      </c>
      <c r="C28" s="2496"/>
      <c r="D28" s="2496"/>
      <c r="E28" s="3520"/>
      <c r="F28" s="3520"/>
      <c r="G28" s="3520"/>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21"/>
      <c r="F32" s="3521"/>
      <c r="G32" s="3521"/>
    </row>
    <row r="33" spans="1:7" hidden="1">
      <c r="A33" s="3516" t="s">
        <v>2523</v>
      </c>
      <c r="B33" s="3517"/>
      <c r="C33" s="3517"/>
      <c r="D33" s="3518"/>
      <c r="E33" s="3519"/>
      <c r="F33" s="3519"/>
      <c r="G33" s="3519"/>
    </row>
    <row r="34" spans="1:7" hidden="1">
      <c r="A34" s="2499">
        <v>1</v>
      </c>
      <c r="B34" s="2496" t="s">
        <v>2524</v>
      </c>
      <c r="C34" s="2496"/>
      <c r="D34" s="2496"/>
      <c r="E34" s="3520"/>
      <c r="F34" s="3520"/>
      <c r="G34" s="3520"/>
    </row>
    <row r="35" spans="1:7" hidden="1">
      <c r="A35" s="2499">
        <v>2</v>
      </c>
      <c r="B35" s="2496" t="s">
        <v>2525</v>
      </c>
      <c r="C35" s="2496"/>
      <c r="D35" s="2496"/>
      <c r="E35" s="3520"/>
      <c r="F35" s="3520"/>
      <c r="G35" s="3520"/>
    </row>
    <row r="36" spans="1:7" hidden="1">
      <c r="A36" s="2499">
        <v>3</v>
      </c>
      <c r="B36" s="2496" t="s">
        <v>2526</v>
      </c>
      <c r="C36" s="2496"/>
      <c r="D36" s="2496"/>
      <c r="E36" s="3520"/>
      <c r="F36" s="3520"/>
      <c r="G36" s="3520"/>
    </row>
    <row r="37" spans="1:7" hidden="1">
      <c r="A37" s="2499">
        <v>4</v>
      </c>
      <c r="B37" s="2496" t="s">
        <v>2527</v>
      </c>
      <c r="C37" s="2496"/>
      <c r="D37" s="2496"/>
      <c r="E37" s="3520"/>
      <c r="F37" s="3520"/>
      <c r="G37" s="3520"/>
    </row>
    <row r="38" spans="1:7" hidden="1">
      <c r="A38" s="3516" t="s">
        <v>2528</v>
      </c>
      <c r="B38" s="3517"/>
      <c r="C38" s="3517"/>
      <c r="D38" s="3518"/>
      <c r="E38" s="3519"/>
      <c r="F38" s="3519"/>
      <c r="G38" s="35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600</v>
      </c>
      <c r="B1" s="741"/>
      <c r="C1" s="2167"/>
      <c r="D1" s="2167"/>
      <c r="E1" s="2167"/>
      <c r="F1" s="2167"/>
      <c r="G1" s="2093"/>
    </row>
    <row r="2" spans="1:25" s="2044" customFormat="1" ht="18" customHeight="1">
      <c r="A2" s="422" t="s">
        <v>464</v>
      </c>
      <c r="B2" s="424">
        <f ca="1">C23</f>
        <v>1784</v>
      </c>
      <c r="C2" s="2093"/>
      <c r="D2" s="2093"/>
      <c r="E2" s="2093"/>
      <c r="F2" s="2093"/>
      <c r="G2" s="2093"/>
    </row>
    <row r="3" spans="1:25" s="2044" customFormat="1" ht="18" customHeight="1">
      <c r="A3" s="1375" t="s">
        <v>1682</v>
      </c>
      <c r="B3" s="424">
        <f ca="1">ROUND(B2*10000/'数据-汇总表'!E3,0)</f>
        <v>4351</v>
      </c>
      <c r="C3" s="2093"/>
      <c r="D3" s="2093"/>
      <c r="E3" s="2093"/>
      <c r="F3" s="2093"/>
      <c r="G3" s="2093"/>
    </row>
    <row r="4" spans="1:25" s="2044" customFormat="1" ht="18" customHeight="1">
      <c r="A4" s="425" t="s">
        <v>465</v>
      </c>
      <c r="B4" s="426">
        <f ca="1">ROUND(B2*10000/'数据-汇总表'!D3,0)</f>
        <v>438</v>
      </c>
      <c r="C4" s="2046"/>
      <c r="D4" s="2093"/>
      <c r="E4" s="2093"/>
      <c r="F4" s="2093"/>
      <c r="G4" s="2093"/>
    </row>
    <row r="5" spans="1:25" s="2044" customFormat="1" ht="18" customHeight="1" thickBot="1">
      <c r="A5" s="428"/>
      <c r="B5" s="429">
        <f ca="1">ROUND(B2/('数据-汇总表'!D3/666.67),0)</f>
        <v>29</v>
      </c>
      <c r="C5" s="430" t="s">
        <v>466</v>
      </c>
      <c r="D5" s="2093"/>
      <c r="E5" s="2093"/>
      <c r="F5" s="2093"/>
      <c r="G5" s="2093"/>
    </row>
    <row r="6" spans="1:25" s="2168" customFormat="1" ht="13.5" customHeight="1">
      <c r="A6" s="742"/>
      <c r="B6" s="743" t="s">
        <v>601</v>
      </c>
      <c r="C6" s="744" t="s">
        <v>602</v>
      </c>
      <c r="D6" s="744" t="s">
        <v>603</v>
      </c>
      <c r="E6" s="745" t="s">
        <v>604</v>
      </c>
      <c r="F6" s="745" t="s">
        <v>605</v>
      </c>
      <c r="G6" s="746"/>
    </row>
    <row r="7" spans="1:25" s="2168" customFormat="1" ht="13.5" customHeight="1">
      <c r="A7" s="2433">
        <v>1</v>
      </c>
      <c r="B7" s="747" t="s">
        <v>606</v>
      </c>
      <c r="C7" s="748">
        <f>C8+C9</f>
        <v>1829</v>
      </c>
      <c r="D7" s="748"/>
      <c r="E7" s="749"/>
      <c r="F7" s="749"/>
      <c r="G7" s="2443" t="s">
        <v>3252</v>
      </c>
    </row>
    <row r="8" spans="1:25" s="2168" customFormat="1" ht="13.5" customHeight="1">
      <c r="A8" s="2433" t="s">
        <v>2437</v>
      </c>
      <c r="B8" s="2436" t="s">
        <v>2439</v>
      </c>
      <c r="C8" s="2437">
        <f>ROUND((土地案例!N10+土地案例!N12+土地案例!N28)/3*'剩余法（停车场0.1)'!C9/10000,0)</f>
        <v>1829</v>
      </c>
      <c r="D8" s="748"/>
      <c r="E8" s="749"/>
      <c r="F8" s="749"/>
      <c r="G8" s="750"/>
    </row>
    <row r="9" spans="1:25" s="2168" customFormat="1" ht="13.5" customHeight="1">
      <c r="A9" s="2433" t="s">
        <v>2438</v>
      </c>
      <c r="B9" s="2436" t="s">
        <v>2440</v>
      </c>
      <c r="C9" s="2437"/>
      <c r="D9" s="748"/>
      <c r="E9" s="749"/>
      <c r="F9" s="749"/>
      <c r="G9" s="750"/>
    </row>
    <row r="10" spans="1:25" s="2168" customFormat="1" ht="36">
      <c r="A10" s="2433">
        <v>2</v>
      </c>
      <c r="B10" s="747" t="s">
        <v>610</v>
      </c>
      <c r="C10" s="748">
        <f>C11+C14+C15</f>
        <v>82</v>
      </c>
      <c r="D10" s="759">
        <f>'数据-汇总表'!E3</f>
        <v>4100</v>
      </c>
      <c r="E10" s="748">
        <f>'数据-取费表'!B31</f>
        <v>200</v>
      </c>
      <c r="F10" s="760"/>
      <c r="G10" s="758" t="s">
        <v>611</v>
      </c>
    </row>
    <row r="11" spans="1:25" s="2168" customFormat="1" ht="13.5" customHeight="1">
      <c r="A11" s="2433" t="s">
        <v>2437</v>
      </c>
      <c r="B11" s="751" t="s">
        <v>607</v>
      </c>
      <c r="C11" s="752">
        <f>'数据-取费表'!B29</f>
        <v>0</v>
      </c>
      <c r="D11" s="753"/>
      <c r="E11" s="752"/>
      <c r="F11" s="754"/>
      <c r="G11" s="2442" t="s">
        <v>2448</v>
      </c>
    </row>
    <row r="12" spans="1:25" s="2168" customFormat="1" ht="13.5" customHeight="1">
      <c r="A12" s="2440" t="s">
        <v>2445</v>
      </c>
      <c r="B12" s="755" t="s">
        <v>608</v>
      </c>
      <c r="C12" s="756">
        <f>ROUND(D12*E12/10000,0)</f>
        <v>0</v>
      </c>
      <c r="D12" s="757">
        <f>'数据-汇总表'!E5</f>
        <v>0</v>
      </c>
      <c r="E12" s="756">
        <f>'数据-取费表'!B27</f>
        <v>160</v>
      </c>
      <c r="F12" s="754"/>
      <c r="G12" s="758"/>
    </row>
    <row r="13" spans="1:25" s="2168" customFormat="1" ht="13.5" customHeight="1">
      <c r="A13" s="2440" t="s">
        <v>2444</v>
      </c>
      <c r="B13" s="755" t="s">
        <v>609</v>
      </c>
      <c r="C13" s="756">
        <f>ROUND(D13*E13/10000,0)</f>
        <v>82</v>
      </c>
      <c r="D13" s="757">
        <f>'数据-汇总表'!E6</f>
        <v>4100</v>
      </c>
      <c r="E13" s="756">
        <f>'数据-取费表'!B28</f>
        <v>200</v>
      </c>
      <c r="F13" s="754"/>
      <c r="G13" s="758"/>
    </row>
    <row r="14" spans="1:25" s="2168" customFormat="1" ht="13.5" customHeight="1">
      <c r="A14" s="2433" t="s">
        <v>2438</v>
      </c>
      <c r="B14" s="2439" t="s">
        <v>2441</v>
      </c>
      <c r="C14" s="2437"/>
      <c r="D14" s="757"/>
      <c r="E14" s="756"/>
      <c r="F14" s="2438"/>
      <c r="G14" s="2441" t="s">
        <v>2446</v>
      </c>
    </row>
    <row r="15" spans="1:25" s="2168" customFormat="1" ht="13.5" customHeight="1">
      <c r="A15" s="2433" t="s">
        <v>2443</v>
      </c>
      <c r="B15" s="2439" t="s">
        <v>2442</v>
      </c>
      <c r="C15" s="2437">
        <f>E10*D10/10000</f>
        <v>82</v>
      </c>
      <c r="D15" s="757"/>
      <c r="E15" s="756"/>
      <c r="F15" s="2438"/>
      <c r="G15" s="2441" t="s">
        <v>2447</v>
      </c>
    </row>
    <row r="16" spans="1:25" s="2169" customFormat="1" ht="48">
      <c r="A16" s="2433">
        <v>3</v>
      </c>
      <c r="B16" s="747" t="s">
        <v>612</v>
      </c>
      <c r="C16" s="2437"/>
      <c r="D16" s="759"/>
      <c r="E16" s="748"/>
      <c r="F16" s="760"/>
      <c r="G16" s="758"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614</v>
      </c>
      <c r="C18" s="748">
        <f>ROUND((C7+C10+C16)*F18,0)</f>
        <v>96</v>
      </c>
      <c r="D18" s="761"/>
      <c r="E18" s="762"/>
      <c r="F18" s="760">
        <f>'数据-取费表'!Q16</f>
        <v>0.05</v>
      </c>
      <c r="G18" s="764" t="s">
        <v>615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616</v>
      </c>
      <c r="C19" s="748">
        <f ca="1">C7+C10+C16+C17+C18</f>
        <v>2007</v>
      </c>
      <c r="D19" s="759"/>
      <c r="E19" s="748"/>
      <c r="F19" s="760"/>
      <c r="G19" s="764" t="s">
        <v>617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618</v>
      </c>
      <c r="C20" s="748">
        <f ca="1">ROUND(C19*F20,0)</f>
        <v>0</v>
      </c>
      <c r="D20" s="759"/>
      <c r="E20" s="748"/>
      <c r="F20" s="1344"/>
      <c r="G20" s="764" t="s">
        <v>619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620</v>
      </c>
      <c r="C21" s="748">
        <f ca="1">C19+C20</f>
        <v>2007</v>
      </c>
      <c r="D21" s="759"/>
      <c r="E21" s="748"/>
      <c r="F21" s="760"/>
      <c r="G21" s="764" t="s">
        <v>621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622</v>
      </c>
      <c r="C22" s="748">
        <f ca="1">ROUND(C21*F22,0)</f>
        <v>1784</v>
      </c>
      <c r="D22" s="759"/>
      <c r="E22" s="748"/>
      <c r="F22" s="765">
        <f>'数据-取费表'!AP16</f>
        <v>0.88900000000000001</v>
      </c>
      <c r="G22" s="764" t="s">
        <v>623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624</v>
      </c>
      <c r="C23" s="767">
        <f ca="1">C22</f>
        <v>1784</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2587" t="s">
        <v>716</v>
      </c>
      <c r="C1" s="2588" t="s">
        <v>717</v>
      </c>
      <c r="D1" s="2589"/>
      <c r="E1" s="2590"/>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464</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516</v>
      </c>
      <c r="B3" s="850" t="e">
        <f>C49</f>
        <v>#DIV/0!</v>
      </c>
      <c r="C3" s="851" t="s">
        <v>719</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518</v>
      </c>
      <c r="B4" s="512"/>
      <c r="C4" s="3440" t="s">
        <v>519</v>
      </c>
      <c r="D4" s="3441"/>
      <c r="E4" s="3464" t="s">
        <v>520</v>
      </c>
      <c r="F4" s="3465"/>
      <c r="G4" s="3440" t="s">
        <v>521</v>
      </c>
      <c r="H4" s="3441"/>
      <c r="I4" s="3440" t="s">
        <v>522</v>
      </c>
      <c r="J4" s="3441"/>
      <c r="K4" s="852" t="s">
        <v>523</v>
      </c>
      <c r="L4" s="2118"/>
      <c r="M4" s="2119"/>
      <c r="N4" s="2119"/>
      <c r="O4" s="2119"/>
      <c r="P4" s="3442" t="s">
        <v>524</v>
      </c>
      <c r="Q4" s="3443"/>
      <c r="R4" s="3428" t="s">
        <v>520</v>
      </c>
      <c r="S4" s="3429"/>
      <c r="T4" s="3428" t="s">
        <v>521</v>
      </c>
      <c r="U4" s="3429"/>
      <c r="V4" s="3448" t="s">
        <v>522</v>
      </c>
      <c r="W4" s="3448"/>
      <c r="X4" s="1553"/>
      <c r="Y4" s="3428" t="s">
        <v>524</v>
      </c>
      <c r="Z4" s="3429"/>
      <c r="AA4" s="3423" t="s">
        <v>520</v>
      </c>
      <c r="AB4" s="3423" t="s">
        <v>521</v>
      </c>
      <c r="AC4" s="3423" t="s">
        <v>522</v>
      </c>
    </row>
    <row r="5" spans="1:29" ht="15">
      <c r="A5" s="514"/>
      <c r="B5" s="515"/>
      <c r="C5" s="3451" t="s">
        <v>2927</v>
      </c>
      <c r="D5" s="3452"/>
      <c r="E5" s="3466" t="s">
        <v>2928</v>
      </c>
      <c r="F5" s="3467"/>
      <c r="G5" s="3451" t="s">
        <v>2929</v>
      </c>
      <c r="H5" s="3452"/>
      <c r="I5" s="3451" t="s">
        <v>2930</v>
      </c>
      <c r="J5" s="3452"/>
      <c r="K5" s="853"/>
      <c r="L5" s="2118"/>
      <c r="M5" s="2119"/>
      <c r="N5" s="2119"/>
      <c r="O5" s="2119"/>
      <c r="P5" s="3444"/>
      <c r="Q5" s="3445"/>
      <c r="R5" s="3430"/>
      <c r="S5" s="3431"/>
      <c r="T5" s="3430"/>
      <c r="U5" s="3431"/>
      <c r="V5" s="3448"/>
      <c r="W5" s="3448"/>
      <c r="X5" s="1553"/>
      <c r="Y5" s="3430"/>
      <c r="Z5" s="3431"/>
      <c r="AA5" s="3424"/>
      <c r="AB5" s="3424"/>
      <c r="AC5" s="3424"/>
    </row>
    <row r="6" spans="1:29" ht="15.75" thickBot="1">
      <c r="A6" s="516"/>
      <c r="B6" s="517"/>
      <c r="C6" s="3449" t="s">
        <v>2931</v>
      </c>
      <c r="D6" s="3450"/>
      <c r="E6" s="3468" t="s">
        <v>2931</v>
      </c>
      <c r="F6" s="3469"/>
      <c r="G6" s="3449" t="s">
        <v>2931</v>
      </c>
      <c r="H6" s="3450"/>
      <c r="I6" s="3449" t="s">
        <v>2931</v>
      </c>
      <c r="J6" s="3450"/>
      <c r="K6" s="853" t="s">
        <v>525</v>
      </c>
      <c r="L6" s="2118"/>
      <c r="M6" s="2119"/>
      <c r="N6" s="2119"/>
      <c r="O6" s="2119"/>
      <c r="P6" s="3446"/>
      <c r="Q6" s="3447"/>
      <c r="R6" s="3430"/>
      <c r="S6" s="3431"/>
      <c r="T6" s="3432"/>
      <c r="U6" s="3433"/>
      <c r="V6" s="3448"/>
      <c r="W6" s="3448"/>
      <c r="X6" s="1553"/>
      <c r="Y6" s="3432"/>
      <c r="Z6" s="3433"/>
      <c r="AA6" s="3425"/>
      <c r="AB6" s="3425"/>
      <c r="AC6" s="3425"/>
    </row>
    <row r="7" spans="1:29" s="1215" customFormat="1" ht="15.75" thickBot="1">
      <c r="A7" s="2867"/>
      <c r="B7" s="2874" t="s">
        <v>526</v>
      </c>
      <c r="C7" s="518">
        <f>'数据-取费表'!B2</f>
        <v>43700</v>
      </c>
      <c r="D7" s="519">
        <v>100</v>
      </c>
      <c r="E7" s="520"/>
      <c r="F7" s="521">
        <f>SUMIF(58:58,YEAR(E7)&amp;"-"&amp;MONTH(E7),59:59)</f>
        <v>0</v>
      </c>
      <c r="G7" s="522"/>
      <c r="H7" s="519">
        <f>SUMIF(58:58,YEAR(G7)&amp;"-"&amp;MONTH(G7),59:59)</f>
        <v>0</v>
      </c>
      <c r="I7" s="522"/>
      <c r="J7" s="519">
        <f>SUMIF(58:58,YEAR(I7)&amp;"-"&amp;MONTH(I7),59:59)</f>
        <v>0</v>
      </c>
      <c r="K7" s="854"/>
      <c r="L7" s="2120"/>
      <c r="M7" s="2121"/>
      <c r="N7" s="2121"/>
      <c r="O7" s="2121"/>
      <c r="P7" s="3426" t="s">
        <v>527</v>
      </c>
      <c r="Q7" s="3435"/>
      <c r="R7" s="1554" t="s">
        <v>13</v>
      </c>
      <c r="S7" s="1555">
        <f t="shared" ref="S7:S15" si="0">F7</f>
        <v>0</v>
      </c>
      <c r="T7" s="1554" t="s">
        <v>13</v>
      </c>
      <c r="U7" s="1555">
        <f t="shared" ref="U7:U15" si="1">H7</f>
        <v>0</v>
      </c>
      <c r="V7" s="1554" t="s">
        <v>13</v>
      </c>
      <c r="W7" s="1555">
        <f t="shared" ref="W7:W15"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426" t="s">
        <v>530</v>
      </c>
      <c r="Q8" s="3427"/>
      <c r="R8" s="1554" t="s">
        <v>13</v>
      </c>
      <c r="S8" s="1555">
        <f t="shared" si="0"/>
        <v>0</v>
      </c>
      <c r="T8" s="1554" t="s">
        <v>13</v>
      </c>
      <c r="U8" s="1555">
        <f t="shared" si="1"/>
        <v>0</v>
      </c>
      <c r="V8" s="1554" t="s">
        <v>13</v>
      </c>
      <c r="W8" s="1555">
        <f t="shared" si="2"/>
        <v>0</v>
      </c>
      <c r="X8" s="1556"/>
      <c r="Y8" s="3426" t="s">
        <v>530</v>
      </c>
      <c r="Z8" s="3427"/>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434" t="s">
        <v>532</v>
      </c>
      <c r="Q9" s="1146" t="str">
        <f t="shared" ref="Q9:Q15" si="6">B9</f>
        <v>用途</v>
      </c>
      <c r="R9" s="1554" t="s">
        <v>8</v>
      </c>
      <c r="S9" s="1555">
        <f t="shared" si="0"/>
        <v>100</v>
      </c>
      <c r="T9" s="1554" t="s">
        <v>8</v>
      </c>
      <c r="U9" s="1555">
        <f t="shared" si="1"/>
        <v>100</v>
      </c>
      <c r="V9" s="1554" t="s">
        <v>8</v>
      </c>
      <c r="W9" s="1555">
        <f t="shared" si="2"/>
        <v>100</v>
      </c>
      <c r="X9" s="1556"/>
      <c r="Y9" s="3391"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434"/>
      <c r="Q11" s="1146" t="str">
        <f t="shared" si="6"/>
        <v>容积率</v>
      </c>
      <c r="R11" s="1554" t="s">
        <v>11</v>
      </c>
      <c r="S11" s="1555" t="e">
        <f t="shared" si="0"/>
        <v>#N/A</v>
      </c>
      <c r="T11" s="1554" t="s">
        <v>11</v>
      </c>
      <c r="U11" s="1555" t="e">
        <f t="shared" si="1"/>
        <v>#N/A</v>
      </c>
      <c r="V11" s="1554" t="s">
        <v>11</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434"/>
      <c r="Q12" s="1146">
        <f t="shared" si="6"/>
        <v>111</v>
      </c>
      <c r="R12" s="1554" t="s">
        <v>11</v>
      </c>
      <c r="S12" s="1555">
        <f t="shared" si="0"/>
        <v>100</v>
      </c>
      <c r="T12" s="1554" t="s">
        <v>11</v>
      </c>
      <c r="U12" s="1555">
        <f t="shared" si="1"/>
        <v>100</v>
      </c>
      <c r="V12" s="1554" t="s">
        <v>11</v>
      </c>
      <c r="W12" s="1555">
        <f t="shared" si="2"/>
        <v>100</v>
      </c>
      <c r="X12" s="1556"/>
      <c r="Y12" s="3391"/>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434"/>
      <c r="Q13" s="1146">
        <f t="shared" si="6"/>
        <v>111</v>
      </c>
      <c r="R13" s="1554" t="s">
        <v>11</v>
      </c>
      <c r="S13" s="1555">
        <f t="shared" si="0"/>
        <v>100</v>
      </c>
      <c r="T13" s="1554" t="s">
        <v>11</v>
      </c>
      <c r="U13" s="1555">
        <f t="shared" si="1"/>
        <v>100</v>
      </c>
      <c r="V13" s="1554" t="s">
        <v>11</v>
      </c>
      <c r="W13" s="1555">
        <f t="shared" si="2"/>
        <v>100</v>
      </c>
      <c r="X13" s="1556"/>
      <c r="Y13" s="3391"/>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434"/>
      <c r="Q14" s="1146">
        <f t="shared" si="6"/>
        <v>111</v>
      </c>
      <c r="R14" s="1554" t="s">
        <v>11</v>
      </c>
      <c r="S14" s="1555">
        <f t="shared" si="0"/>
        <v>100</v>
      </c>
      <c r="T14" s="1554" t="s">
        <v>11</v>
      </c>
      <c r="U14" s="1555">
        <f t="shared" si="1"/>
        <v>100</v>
      </c>
      <c r="V14" s="1554" t="s">
        <v>11</v>
      </c>
      <c r="W14" s="1555">
        <f t="shared" si="2"/>
        <v>100</v>
      </c>
      <c r="X14" s="1556"/>
      <c r="Y14" s="3391"/>
      <c r="Z14" s="1145">
        <f t="shared" si="7"/>
        <v>111</v>
      </c>
      <c r="AA14" s="1557">
        <f t="shared" si="3"/>
        <v>1</v>
      </c>
      <c r="AB14" s="1557">
        <f t="shared" si="4"/>
        <v>1</v>
      </c>
      <c r="AC14" s="1557">
        <f t="shared" si="5"/>
        <v>1</v>
      </c>
    </row>
    <row r="15" spans="1:29" ht="99.75">
      <c r="A15" s="2865" t="s">
        <v>2751</v>
      </c>
      <c r="B15" s="166" t="s">
        <v>292</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36" t="s">
        <v>537</v>
      </c>
      <c r="Q15" s="1558" t="str">
        <f t="shared" si="6"/>
        <v>居住社区成熟度</v>
      </c>
      <c r="R15" s="1559" t="s">
        <v>11</v>
      </c>
      <c r="S15" s="1560">
        <f t="shared" si="0"/>
        <v>100</v>
      </c>
      <c r="T15" s="1559" t="s">
        <v>11</v>
      </c>
      <c r="U15" s="1560">
        <f t="shared" si="1"/>
        <v>100</v>
      </c>
      <c r="V15" s="1559" t="s">
        <v>11</v>
      </c>
      <c r="W15" s="1560">
        <f t="shared" si="2"/>
        <v>100</v>
      </c>
      <c r="X15" s="1553"/>
      <c r="Y15" s="3436" t="s">
        <v>537</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437"/>
      <c r="Q16" s="1558"/>
      <c r="R16" s="1559"/>
      <c r="S16" s="1560"/>
      <c r="T16" s="1559"/>
      <c r="U16" s="1560"/>
      <c r="V16" s="1559"/>
      <c r="W16" s="1560"/>
      <c r="X16" s="1553"/>
      <c r="Y16" s="3437"/>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37"/>
      <c r="Q17" s="1558" t="str">
        <f>B17</f>
        <v>交通便捷度</v>
      </c>
      <c r="R17" s="1559" t="s">
        <v>11</v>
      </c>
      <c r="S17" s="1560">
        <f>F17</f>
        <v>100</v>
      </c>
      <c r="T17" s="1559" t="s">
        <v>11</v>
      </c>
      <c r="U17" s="1560">
        <f>H17</f>
        <v>100</v>
      </c>
      <c r="V17" s="1559" t="s">
        <v>11</v>
      </c>
      <c r="W17" s="1560">
        <f>J17</f>
        <v>100</v>
      </c>
      <c r="X17" s="1553"/>
      <c r="Y17" s="343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437"/>
      <c r="Q18" s="1558"/>
      <c r="R18" s="1559"/>
      <c r="S18" s="1560"/>
      <c r="T18" s="1559"/>
      <c r="U18" s="1560"/>
      <c r="V18" s="1559"/>
      <c r="W18" s="1560"/>
      <c r="X18" s="1553"/>
      <c r="Y18" s="3437"/>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37"/>
      <c r="Q19" s="1558" t="str">
        <f>B19</f>
        <v>公共配套设施</v>
      </c>
      <c r="R19" s="1559" t="s">
        <v>11</v>
      </c>
      <c r="S19" s="1560">
        <f>F19</f>
        <v>100</v>
      </c>
      <c r="T19" s="1559" t="s">
        <v>11</v>
      </c>
      <c r="U19" s="1560">
        <f>H19</f>
        <v>100</v>
      </c>
      <c r="V19" s="1559" t="s">
        <v>11</v>
      </c>
      <c r="W19" s="1560">
        <f>J19</f>
        <v>100</v>
      </c>
      <c r="X19" s="1553"/>
      <c r="Y19" s="343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437"/>
      <c r="Q20" s="1558"/>
      <c r="R20" s="1559"/>
      <c r="S20" s="1560"/>
      <c r="T20" s="1559"/>
      <c r="U20" s="1560"/>
      <c r="V20" s="1559"/>
      <c r="W20" s="1560"/>
      <c r="X20" s="1553"/>
      <c r="Y20" s="3437"/>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437"/>
      <c r="Q21" s="2543" t="str">
        <f>B21</f>
        <v>基础设施水平</v>
      </c>
      <c r="R21" s="1559" t="s">
        <v>11</v>
      </c>
      <c r="S21" s="1560">
        <f>F21</f>
        <v>100</v>
      </c>
      <c r="T21" s="1559" t="s">
        <v>11</v>
      </c>
      <c r="U21" s="1560">
        <f>H21</f>
        <v>100</v>
      </c>
      <c r="V21" s="1559" t="s">
        <v>11</v>
      </c>
      <c r="W21" s="1560">
        <f>J21</f>
        <v>100</v>
      </c>
      <c r="X21" s="2545"/>
      <c r="Y21" s="343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437"/>
      <c r="Q22" s="2543"/>
      <c r="R22" s="1559"/>
      <c r="S22" s="1560"/>
      <c r="T22" s="1559"/>
      <c r="U22" s="1560"/>
      <c r="V22" s="1559"/>
      <c r="W22" s="1560"/>
      <c r="X22" s="2545"/>
      <c r="Y22" s="3437"/>
      <c r="Z22" s="2544"/>
      <c r="AA22" s="1562">
        <v>1</v>
      </c>
      <c r="AB22" s="1562">
        <v>1</v>
      </c>
      <c r="AC22" s="1562">
        <v>1</v>
      </c>
    </row>
    <row r="23" spans="1:29" ht="57">
      <c r="A23" s="531"/>
      <c r="B23" s="870" t="s">
        <v>294</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437"/>
      <c r="Q23" s="1558" t="str">
        <f>B23</f>
        <v>自然及人文环境</v>
      </c>
      <c r="R23" s="1559" t="s">
        <v>11</v>
      </c>
      <c r="S23" s="1560">
        <f>F23</f>
        <v>100</v>
      </c>
      <c r="T23" s="1559" t="s">
        <v>11</v>
      </c>
      <c r="U23" s="1560">
        <f>H23</f>
        <v>100</v>
      </c>
      <c r="V23" s="1559" t="s">
        <v>11</v>
      </c>
      <c r="W23" s="1560">
        <f>J23</f>
        <v>100</v>
      </c>
      <c r="X23" s="1553"/>
      <c r="Y23" s="343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437"/>
      <c r="Q24" s="1558"/>
      <c r="R24" s="1559"/>
      <c r="S24" s="1560"/>
      <c r="T24" s="1559"/>
      <c r="U24" s="1560"/>
      <c r="V24" s="1559"/>
      <c r="W24" s="1560"/>
      <c r="X24" s="1553"/>
      <c r="Y24" s="3437"/>
      <c r="Z24" s="1561"/>
      <c r="AA24" s="1562">
        <v>1</v>
      </c>
      <c r="AB24" s="1562">
        <v>1</v>
      </c>
      <c r="AC24" s="1562">
        <v>1</v>
      </c>
    </row>
    <row r="25" spans="1:29" ht="15">
      <c r="A25" s="531"/>
      <c r="B25" s="1880" t="s">
        <v>2253</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37"/>
      <c r="Q25" s="1558" t="str">
        <f t="shared" ref="Q25:Q46" si="11">B25</f>
        <v>楼层-1</v>
      </c>
      <c r="R25" s="1559" t="s">
        <v>11</v>
      </c>
      <c r="S25" s="1560">
        <f>F25</f>
        <v>100</v>
      </c>
      <c r="T25" s="1559" t="s">
        <v>11</v>
      </c>
      <c r="U25" s="1560">
        <f>H25</f>
        <v>100</v>
      </c>
      <c r="V25" s="1559" t="s">
        <v>11</v>
      </c>
      <c r="W25" s="1560">
        <f>J25</f>
        <v>100</v>
      </c>
      <c r="X25" s="1553"/>
      <c r="Y25" s="3437"/>
      <c r="Z25" s="1561" t="str">
        <f>Q25</f>
        <v>楼层-1</v>
      </c>
      <c r="AA25" s="1562">
        <f t="shared" si="3"/>
        <v>1</v>
      </c>
      <c r="AB25" s="1562">
        <f t="shared" si="4"/>
        <v>1</v>
      </c>
      <c r="AC25" s="1562">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37"/>
      <c r="Q26" s="1558" t="str">
        <f t="shared" si="11"/>
        <v>朝向</v>
      </c>
      <c r="R26" s="1559" t="s">
        <v>11</v>
      </c>
      <c r="S26" s="1560">
        <f>F26</f>
        <v>100</v>
      </c>
      <c r="T26" s="1559" t="s">
        <v>11</v>
      </c>
      <c r="U26" s="1560">
        <f>H26</f>
        <v>100</v>
      </c>
      <c r="V26" s="1559" t="s">
        <v>11</v>
      </c>
      <c r="W26" s="1560">
        <f>J26</f>
        <v>100</v>
      </c>
      <c r="X26" s="1553"/>
      <c r="Y26" s="3437"/>
      <c r="Z26" s="1561" t="str">
        <f>Q26</f>
        <v>朝向</v>
      </c>
      <c r="AA26" s="1562">
        <f t="shared" si="3"/>
        <v>1</v>
      </c>
      <c r="AB26" s="1562">
        <f t="shared" si="4"/>
        <v>1</v>
      </c>
      <c r="AC26" s="1562">
        <f t="shared" si="5"/>
        <v>1</v>
      </c>
    </row>
    <row r="27" spans="1:29" s="1215"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37"/>
      <c r="Q27" s="1146" t="str">
        <f t="shared" si="11"/>
        <v>道路级别</v>
      </c>
      <c r="R27" s="1554" t="s">
        <v>11</v>
      </c>
      <c r="S27" s="1555">
        <f>F27</f>
        <v>100</v>
      </c>
      <c r="T27" s="1554" t="s">
        <v>11</v>
      </c>
      <c r="U27" s="1555">
        <f>H27</f>
        <v>100</v>
      </c>
      <c r="V27" s="1554" t="s">
        <v>11</v>
      </c>
      <c r="W27" s="1555">
        <f>J27</f>
        <v>100</v>
      </c>
      <c r="X27" s="1556"/>
      <c r="Y27" s="3437"/>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37"/>
      <c r="Q28" s="1558">
        <f t="shared" si="11"/>
        <v>111</v>
      </c>
      <c r="R28" s="1559" t="s">
        <v>11</v>
      </c>
      <c r="S28" s="1560">
        <f t="shared" ref="S28:S46" si="12">F28</f>
        <v>100</v>
      </c>
      <c r="T28" s="1559" t="s">
        <v>11</v>
      </c>
      <c r="U28" s="1560">
        <f t="shared" ref="U28:U46" si="13">H28</f>
        <v>100</v>
      </c>
      <c r="V28" s="1559" t="s">
        <v>11</v>
      </c>
      <c r="W28" s="1560">
        <f t="shared" ref="W28:W46" si="14">J28</f>
        <v>100</v>
      </c>
      <c r="X28" s="1553"/>
      <c r="Y28" s="3437"/>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37"/>
      <c r="Q29" s="1558">
        <f t="shared" si="11"/>
        <v>111</v>
      </c>
      <c r="R29" s="1559" t="s">
        <v>11</v>
      </c>
      <c r="S29" s="1560">
        <f t="shared" si="12"/>
        <v>100</v>
      </c>
      <c r="T29" s="1559" t="s">
        <v>11</v>
      </c>
      <c r="U29" s="1560">
        <f t="shared" si="13"/>
        <v>100</v>
      </c>
      <c r="V29" s="1559" t="s">
        <v>11</v>
      </c>
      <c r="W29" s="1560">
        <f t="shared" si="14"/>
        <v>100</v>
      </c>
      <c r="X29" s="1553"/>
      <c r="Y29" s="343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37"/>
      <c r="Q30" s="1558">
        <f t="shared" si="11"/>
        <v>111</v>
      </c>
      <c r="R30" s="1559" t="s">
        <v>11</v>
      </c>
      <c r="S30" s="1560">
        <f t="shared" si="12"/>
        <v>100</v>
      </c>
      <c r="T30" s="1559" t="s">
        <v>11</v>
      </c>
      <c r="U30" s="1560">
        <f t="shared" si="13"/>
        <v>100</v>
      </c>
      <c r="V30" s="1559" t="s">
        <v>11</v>
      </c>
      <c r="W30" s="1560">
        <f t="shared" si="14"/>
        <v>100</v>
      </c>
      <c r="X30" s="1553"/>
      <c r="Y30" s="3437"/>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37"/>
      <c r="Q31" s="1558">
        <f t="shared" si="11"/>
        <v>111</v>
      </c>
      <c r="R31" s="1559" t="s">
        <v>11</v>
      </c>
      <c r="S31" s="1560">
        <f t="shared" si="12"/>
        <v>100</v>
      </c>
      <c r="T31" s="1559" t="s">
        <v>11</v>
      </c>
      <c r="U31" s="1560">
        <f t="shared" si="13"/>
        <v>100</v>
      </c>
      <c r="V31" s="1559" t="s">
        <v>11</v>
      </c>
      <c r="W31" s="1560">
        <f t="shared" si="14"/>
        <v>100</v>
      </c>
      <c r="X31" s="1553"/>
      <c r="Y31" s="3437"/>
      <c r="Z31" s="1561">
        <f t="shared" si="15"/>
        <v>111</v>
      </c>
      <c r="AA31" s="1562">
        <f t="shared" si="3"/>
        <v>1</v>
      </c>
      <c r="AB31" s="1562">
        <f t="shared" si="4"/>
        <v>1</v>
      </c>
      <c r="AC31" s="1562">
        <f t="shared" si="5"/>
        <v>1</v>
      </c>
    </row>
    <row r="32" spans="1:29" ht="15">
      <c r="A32" s="2862" t="s">
        <v>2752</v>
      </c>
      <c r="B32" s="172" t="s">
        <v>722</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438" t="s">
        <v>547</v>
      </c>
      <c r="Q32" s="1558" t="str">
        <f t="shared" si="11"/>
        <v>建筑类型</v>
      </c>
      <c r="R32" s="1559" t="s">
        <v>11</v>
      </c>
      <c r="S32" s="1560">
        <f t="shared" si="12"/>
        <v>100</v>
      </c>
      <c r="T32" s="1559" t="s">
        <v>11</v>
      </c>
      <c r="U32" s="1560">
        <f t="shared" si="13"/>
        <v>100</v>
      </c>
      <c r="V32" s="1559" t="s">
        <v>11</v>
      </c>
      <c r="W32" s="1560">
        <f t="shared" si="14"/>
        <v>100</v>
      </c>
      <c r="X32" s="1553"/>
      <c r="Y32" s="3439" t="s">
        <v>547</v>
      </c>
      <c r="Z32" s="1561" t="str">
        <f t="shared" si="15"/>
        <v>建筑类型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439"/>
      <c r="Q33" s="1590" t="str">
        <f t="shared" si="11"/>
        <v>项目建筑规模</v>
      </c>
      <c r="R33" s="1563" t="s">
        <v>11</v>
      </c>
      <c r="S33" s="1564" t="e">
        <f t="shared" si="12"/>
        <v>#N/A</v>
      </c>
      <c r="T33" s="1563" t="s">
        <v>11</v>
      </c>
      <c r="U33" s="1564" t="e">
        <f t="shared" si="13"/>
        <v>#N/A</v>
      </c>
      <c r="V33" s="1563" t="s">
        <v>11</v>
      </c>
      <c r="W33" s="1564" t="e">
        <f t="shared" si="14"/>
        <v>#N/A</v>
      </c>
      <c r="X33" s="1565"/>
      <c r="Y33" s="3439"/>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439"/>
      <c r="Q34" s="1558" t="str">
        <f t="shared" si="11"/>
        <v>建筑结构</v>
      </c>
      <c r="R34" s="1559" t="s">
        <v>11</v>
      </c>
      <c r="S34" s="1560">
        <f t="shared" si="12"/>
        <v>100</v>
      </c>
      <c r="T34" s="1559" t="s">
        <v>11</v>
      </c>
      <c r="U34" s="1560">
        <f t="shared" si="13"/>
        <v>100</v>
      </c>
      <c r="V34" s="1559" t="s">
        <v>11</v>
      </c>
      <c r="W34" s="1560">
        <f t="shared" si="14"/>
        <v>100</v>
      </c>
      <c r="X34" s="1553"/>
      <c r="Y34" s="3439"/>
      <c r="Z34" s="1561" t="str">
        <f t="shared" si="15"/>
        <v>建筑结构</v>
      </c>
      <c r="AA34" s="1562">
        <f t="shared" si="3"/>
        <v>1</v>
      </c>
      <c r="AB34" s="1562">
        <f t="shared" si="4"/>
        <v>1</v>
      </c>
      <c r="AC34" s="1562">
        <f t="shared" si="5"/>
        <v>1</v>
      </c>
    </row>
    <row r="35" spans="1:29" ht="15">
      <c r="A35" s="593"/>
      <c r="B35" s="526" t="s">
        <v>725</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439"/>
      <c r="Q35" s="1558" t="str">
        <f t="shared" si="11"/>
        <v>建筑品质</v>
      </c>
      <c r="R35" s="1559" t="s">
        <v>11</v>
      </c>
      <c r="S35" s="1560">
        <f t="shared" si="12"/>
        <v>100</v>
      </c>
      <c r="T35" s="1559" t="s">
        <v>11</v>
      </c>
      <c r="U35" s="1560">
        <f t="shared" si="13"/>
        <v>100</v>
      </c>
      <c r="V35" s="1559" t="s">
        <v>11</v>
      </c>
      <c r="W35" s="1560">
        <f t="shared" si="14"/>
        <v>100</v>
      </c>
      <c r="X35" s="1553"/>
      <c r="Y35" s="3439"/>
      <c r="Z35" s="1561" t="str">
        <f t="shared" si="15"/>
        <v>建筑品质</v>
      </c>
      <c r="AA35" s="1562">
        <f t="shared" si="3"/>
        <v>1</v>
      </c>
      <c r="AB35" s="1562">
        <f t="shared" si="4"/>
        <v>1</v>
      </c>
      <c r="AC35" s="1562">
        <f t="shared" si="5"/>
        <v>1</v>
      </c>
    </row>
    <row r="36" spans="1:29" ht="15">
      <c r="A36" s="593"/>
      <c r="B36" s="526" t="s">
        <v>726</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439"/>
      <c r="Q36" s="1558" t="str">
        <f t="shared" si="11"/>
        <v>公共部分装修</v>
      </c>
      <c r="R36" s="1559" t="s">
        <v>11</v>
      </c>
      <c r="S36" s="1560">
        <f t="shared" si="12"/>
        <v>100</v>
      </c>
      <c r="T36" s="1559" t="s">
        <v>11</v>
      </c>
      <c r="U36" s="1560">
        <f t="shared" si="13"/>
        <v>100</v>
      </c>
      <c r="V36" s="1559" t="s">
        <v>11</v>
      </c>
      <c r="W36" s="1560">
        <f t="shared" si="14"/>
        <v>100</v>
      </c>
      <c r="X36" s="1553"/>
      <c r="Y36" s="3439"/>
      <c r="Z36" s="1561" t="str">
        <f t="shared" si="15"/>
        <v>公共部分装修</v>
      </c>
      <c r="AA36" s="1562">
        <f t="shared" si="3"/>
        <v>1</v>
      </c>
      <c r="AB36" s="1562">
        <f t="shared" si="4"/>
        <v>1</v>
      </c>
      <c r="AC36" s="1562">
        <f t="shared" si="5"/>
        <v>1</v>
      </c>
    </row>
    <row r="37" spans="1:29" s="1215" customFormat="1" ht="15">
      <c r="A37" s="599"/>
      <c r="B37" s="526" t="s">
        <v>727</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439"/>
      <c r="Q37" s="1146" t="str">
        <f t="shared" si="11"/>
        <v>成新度</v>
      </c>
      <c r="R37" s="1554" t="s">
        <v>11</v>
      </c>
      <c r="S37" s="1555" t="e">
        <f t="shared" si="12"/>
        <v>#N/A</v>
      </c>
      <c r="T37" s="1554" t="s">
        <v>11</v>
      </c>
      <c r="U37" s="1555" t="e">
        <f t="shared" si="13"/>
        <v>#N/A</v>
      </c>
      <c r="V37" s="1554" t="s">
        <v>11</v>
      </c>
      <c r="W37" s="1555" t="e">
        <f t="shared" si="14"/>
        <v>#N/A</v>
      </c>
      <c r="X37" s="1556"/>
      <c r="Y37" s="3439"/>
      <c r="Z37" s="1145" t="str">
        <f t="shared" si="15"/>
        <v>成新度</v>
      </c>
      <c r="AA37" s="1557" t="e">
        <f t="shared" si="3"/>
        <v>#N/A</v>
      </c>
      <c r="AB37" s="1557" t="e">
        <f t="shared" si="4"/>
        <v>#N/A</v>
      </c>
      <c r="AC37" s="1557" t="e">
        <f t="shared" si="5"/>
        <v>#N/A</v>
      </c>
    </row>
    <row r="38" spans="1:29" ht="15">
      <c r="A38" s="593"/>
      <c r="B38" s="526" t="s">
        <v>728</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439" t="s">
        <v>547</v>
      </c>
      <c r="Q38" s="1558" t="str">
        <f t="shared" si="11"/>
        <v>物业管理</v>
      </c>
      <c r="R38" s="1559" t="s">
        <v>11</v>
      </c>
      <c r="S38" s="1560">
        <f t="shared" si="12"/>
        <v>100</v>
      </c>
      <c r="T38" s="1559" t="s">
        <v>11</v>
      </c>
      <c r="U38" s="1560">
        <f t="shared" si="13"/>
        <v>100</v>
      </c>
      <c r="V38" s="1559" t="s">
        <v>11</v>
      </c>
      <c r="W38" s="1560">
        <f t="shared" si="14"/>
        <v>100</v>
      </c>
      <c r="X38" s="1553"/>
      <c r="Y38" s="3439" t="s">
        <v>547</v>
      </c>
      <c r="Z38" s="1561" t="str">
        <f t="shared" si="15"/>
        <v>物业管理</v>
      </c>
      <c r="AA38" s="1562">
        <f t="shared" si="3"/>
        <v>1</v>
      </c>
      <c r="AB38" s="1562">
        <f t="shared" si="4"/>
        <v>1</v>
      </c>
      <c r="AC38" s="1562">
        <f t="shared" si="5"/>
        <v>1</v>
      </c>
    </row>
    <row r="39" spans="1:29" ht="15">
      <c r="A39" s="593"/>
      <c r="B39" s="1880"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439"/>
      <c r="Q39" s="1558" t="str">
        <f t="shared" si="11"/>
        <v>市政基础设施</v>
      </c>
      <c r="R39" s="1559" t="s">
        <v>11</v>
      </c>
      <c r="S39" s="1560">
        <f t="shared" si="12"/>
        <v>100</v>
      </c>
      <c r="T39" s="1559" t="s">
        <v>11</v>
      </c>
      <c r="U39" s="1560">
        <f t="shared" si="13"/>
        <v>100</v>
      </c>
      <c r="V39" s="1559" t="s">
        <v>11</v>
      </c>
      <c r="W39" s="1560">
        <f t="shared" si="14"/>
        <v>100</v>
      </c>
      <c r="X39" s="1553"/>
      <c r="Y39" s="3439"/>
      <c r="Z39" s="1561" t="str">
        <f t="shared" si="15"/>
        <v>市政基础设施</v>
      </c>
      <c r="AA39" s="1562">
        <f t="shared" si="3"/>
        <v>1</v>
      </c>
      <c r="AB39" s="1562">
        <f t="shared" si="4"/>
        <v>1</v>
      </c>
      <c r="AC39" s="1562">
        <f t="shared" si="5"/>
        <v>1</v>
      </c>
    </row>
    <row r="40" spans="1:29" ht="15">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439"/>
      <c r="Q40" s="1558" t="str">
        <f t="shared" si="11"/>
        <v>房型</v>
      </c>
      <c r="R40" s="1559" t="s">
        <v>11</v>
      </c>
      <c r="S40" s="1560">
        <f t="shared" si="12"/>
        <v>100</v>
      </c>
      <c r="T40" s="1559" t="s">
        <v>11</v>
      </c>
      <c r="U40" s="1560">
        <f t="shared" si="13"/>
        <v>100</v>
      </c>
      <c r="V40" s="1559" t="s">
        <v>11</v>
      </c>
      <c r="W40" s="1560">
        <f t="shared" si="14"/>
        <v>100</v>
      </c>
      <c r="X40" s="1553"/>
      <c r="Y40" s="3439"/>
      <c r="Z40" s="1561" t="str">
        <f t="shared" si="15"/>
        <v>房型</v>
      </c>
      <c r="AA40" s="1562">
        <f t="shared" si="3"/>
        <v>1</v>
      </c>
      <c r="AB40" s="1562">
        <f t="shared" si="4"/>
        <v>1</v>
      </c>
      <c r="AC40" s="1562">
        <f t="shared" si="5"/>
        <v>1</v>
      </c>
    </row>
    <row r="41" spans="1:29" s="1334" customFormat="1" ht="28.5">
      <c r="A41" s="602"/>
      <c r="B41" s="526" t="s">
        <v>730</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39"/>
      <c r="Q41" s="1590" t="str">
        <f t="shared" si="11"/>
        <v>单套/主力户型建筑面积</v>
      </c>
      <c r="R41" s="1563" t="s">
        <v>11</v>
      </c>
      <c r="S41" s="1564">
        <f t="shared" si="12"/>
        <v>100</v>
      </c>
      <c r="T41" s="1563" t="s">
        <v>11</v>
      </c>
      <c r="U41" s="1564">
        <f t="shared" si="13"/>
        <v>100</v>
      </c>
      <c r="V41" s="1563" t="s">
        <v>11</v>
      </c>
      <c r="W41" s="1564">
        <f t="shared" si="14"/>
        <v>100</v>
      </c>
      <c r="X41" s="1565"/>
      <c r="Y41" s="3439"/>
      <c r="Z41" s="1566" t="str">
        <f t="shared" si="15"/>
        <v>单套/主力户型建筑面积</v>
      </c>
      <c r="AA41" s="1562">
        <f t="shared" si="3"/>
        <v>1</v>
      </c>
      <c r="AB41" s="1562">
        <f t="shared" si="4"/>
        <v>1</v>
      </c>
      <c r="AC41" s="1562">
        <f t="shared" si="5"/>
        <v>1</v>
      </c>
    </row>
    <row r="42" spans="1:29" ht="15">
      <c r="A42" s="593"/>
      <c r="B42" s="526" t="s">
        <v>731</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439"/>
      <c r="Q42" s="1558" t="str">
        <f t="shared" si="11"/>
        <v>内部装修</v>
      </c>
      <c r="R42" s="1559" t="s">
        <v>11</v>
      </c>
      <c r="S42" s="1560">
        <f t="shared" si="12"/>
        <v>100</v>
      </c>
      <c r="T42" s="1559" t="s">
        <v>11</v>
      </c>
      <c r="U42" s="1560">
        <f t="shared" si="13"/>
        <v>100</v>
      </c>
      <c r="V42" s="1559" t="s">
        <v>11</v>
      </c>
      <c r="W42" s="1560">
        <f t="shared" si="14"/>
        <v>100</v>
      </c>
      <c r="X42" s="1553"/>
      <c r="Y42" s="3439"/>
      <c r="Z42" s="1561" t="str">
        <f t="shared" si="15"/>
        <v>内部装修</v>
      </c>
      <c r="AA42" s="1562">
        <f t="shared" si="3"/>
        <v>1</v>
      </c>
      <c r="AB42" s="1562">
        <f t="shared" si="4"/>
        <v>1</v>
      </c>
      <c r="AC42" s="1562">
        <f t="shared" si="5"/>
        <v>1</v>
      </c>
    </row>
    <row r="43" spans="1:29" ht="27">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439"/>
      <c r="Q43" s="1558" t="str">
        <f t="shared" si="11"/>
        <v>内部装修维护情况</v>
      </c>
      <c r="R43" s="1559" t="s">
        <v>11</v>
      </c>
      <c r="S43" s="1560">
        <f t="shared" si="12"/>
        <v>100</v>
      </c>
      <c r="T43" s="1559" t="s">
        <v>11</v>
      </c>
      <c r="U43" s="1560">
        <f t="shared" si="13"/>
        <v>100</v>
      </c>
      <c r="V43" s="1559" t="s">
        <v>11</v>
      </c>
      <c r="W43" s="1560">
        <f t="shared" si="14"/>
        <v>100</v>
      </c>
      <c r="X43" s="1553"/>
      <c r="Y43" s="343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39"/>
      <c r="Q44" s="1146">
        <f t="shared" si="11"/>
        <v>111</v>
      </c>
      <c r="R44" s="1554" t="s">
        <v>11</v>
      </c>
      <c r="S44" s="1555">
        <f t="shared" si="12"/>
        <v>100</v>
      </c>
      <c r="T44" s="1554" t="s">
        <v>11</v>
      </c>
      <c r="U44" s="1555">
        <f t="shared" si="13"/>
        <v>100</v>
      </c>
      <c r="V44" s="1554" t="s">
        <v>11</v>
      </c>
      <c r="W44" s="1555">
        <f t="shared" si="14"/>
        <v>100</v>
      </c>
      <c r="X44" s="1556"/>
      <c r="Y44" s="343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39"/>
      <c r="Q45" s="1558">
        <f t="shared" si="11"/>
        <v>111</v>
      </c>
      <c r="R45" s="1559" t="s">
        <v>11</v>
      </c>
      <c r="S45" s="1560">
        <f t="shared" si="12"/>
        <v>100</v>
      </c>
      <c r="T45" s="1559" t="s">
        <v>11</v>
      </c>
      <c r="U45" s="1560">
        <f t="shared" si="13"/>
        <v>100</v>
      </c>
      <c r="V45" s="1559" t="s">
        <v>11</v>
      </c>
      <c r="W45" s="1560">
        <f t="shared" si="14"/>
        <v>100</v>
      </c>
      <c r="X45" s="1553"/>
      <c r="Y45" s="3439"/>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539"/>
      <c r="Q46" s="1558">
        <f t="shared" si="11"/>
        <v>111</v>
      </c>
      <c r="R46" s="1559" t="s">
        <v>10</v>
      </c>
      <c r="S46" s="1560">
        <f t="shared" si="12"/>
        <v>100</v>
      </c>
      <c r="T46" s="1559" t="s">
        <v>10</v>
      </c>
      <c r="U46" s="1560">
        <f t="shared" si="13"/>
        <v>100</v>
      </c>
      <c r="V46" s="1559" t="s">
        <v>10</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9</v>
      </c>
      <c r="D47" s="2592"/>
      <c r="E47" s="2593"/>
      <c r="F47" s="2594"/>
      <c r="G47" s="2595"/>
      <c r="H47" s="2596"/>
      <c r="I47" s="2593"/>
      <c r="J47" s="2596"/>
      <c r="K47" s="1591"/>
      <c r="L47" s="2129"/>
      <c r="M47" s="2130"/>
      <c r="N47" s="2119"/>
      <c r="O47" s="2130"/>
      <c r="P47" s="3434" t="str">
        <f>A47</f>
        <v>成交单价（元/平方米）</v>
      </c>
      <c r="Q47" s="3434"/>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2"/>
      <c r="L48" s="2129"/>
      <c r="M48" s="2130"/>
      <c r="N48" s="2130"/>
      <c r="O48" s="2130"/>
      <c r="P48" s="3434" t="str">
        <f>A48</f>
        <v>比较价格（元/平方米）</v>
      </c>
      <c r="Q48" s="3434"/>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3"/>
      <c r="L49" s="2129"/>
      <c r="M49" s="2130"/>
      <c r="N49" s="2130"/>
      <c r="O49" s="2130"/>
      <c r="P49" s="3455" t="str">
        <f>A49</f>
        <v>估价对象XX用房的比较价格（楼面单价，元/平方米）</v>
      </c>
      <c r="Q49" s="3456"/>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743</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744</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747</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748</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2553</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751</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730</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754</v>
      </c>
      <c r="C1" s="503" t="s">
        <v>717</v>
      </c>
      <c r="D1" s="2334"/>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516</v>
      </c>
      <c r="B3" s="509" t="e">
        <f>C49</f>
        <v>#DIV/0!</v>
      </c>
      <c r="C3" s="851" t="s">
        <v>719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518</v>
      </c>
      <c r="B4" s="512"/>
      <c r="C4" s="3440" t="s">
        <v>519</v>
      </c>
      <c r="D4" s="3441"/>
      <c r="E4" s="3464" t="s">
        <v>520</v>
      </c>
      <c r="F4" s="3465"/>
      <c r="G4" s="3440" t="s">
        <v>521</v>
      </c>
      <c r="H4" s="3441"/>
      <c r="I4" s="3440" t="s">
        <v>522</v>
      </c>
      <c r="J4" s="3441"/>
      <c r="K4" s="513" t="s">
        <v>523</v>
      </c>
      <c r="L4" s="2118"/>
      <c r="M4" s="2119"/>
      <c r="N4" s="2119"/>
      <c r="O4" s="2119"/>
      <c r="P4" s="3442" t="s">
        <v>524</v>
      </c>
      <c r="Q4" s="3443"/>
      <c r="R4" s="3428" t="s">
        <v>520</v>
      </c>
      <c r="S4" s="3429"/>
      <c r="T4" s="3428" t="s">
        <v>521</v>
      </c>
      <c r="U4" s="3429"/>
      <c r="V4" s="3448" t="s">
        <v>522</v>
      </c>
      <c r="W4" s="3448"/>
      <c r="X4" s="1553"/>
      <c r="Y4" s="3428" t="s">
        <v>524</v>
      </c>
      <c r="Z4" s="3429"/>
      <c r="AA4" s="3423" t="s">
        <v>520</v>
      </c>
      <c r="AB4" s="3448" t="s">
        <v>521</v>
      </c>
      <c r="AC4" s="3423" t="s">
        <v>522</v>
      </c>
    </row>
    <row r="5" spans="1:29" ht="15">
      <c r="A5" s="514"/>
      <c r="B5" s="515"/>
      <c r="C5" s="3451" t="s">
        <v>2927</v>
      </c>
      <c r="D5" s="3452"/>
      <c r="E5" s="3466" t="s">
        <v>2928</v>
      </c>
      <c r="F5" s="3467"/>
      <c r="G5" s="3451" t="s">
        <v>2929</v>
      </c>
      <c r="H5" s="3452"/>
      <c r="I5" s="3451" t="s">
        <v>2930</v>
      </c>
      <c r="J5" s="3452"/>
      <c r="K5" s="513"/>
      <c r="L5" s="2118"/>
      <c r="M5" s="2119"/>
      <c r="N5" s="2119"/>
      <c r="O5" s="2119"/>
      <c r="P5" s="3444"/>
      <c r="Q5" s="3445"/>
      <c r="R5" s="3430"/>
      <c r="S5" s="3431"/>
      <c r="T5" s="3430"/>
      <c r="U5" s="3431"/>
      <c r="V5" s="3448"/>
      <c r="W5" s="3448"/>
      <c r="X5" s="1553"/>
      <c r="Y5" s="3430"/>
      <c r="Z5" s="3431"/>
      <c r="AA5" s="3424"/>
      <c r="AB5" s="3448"/>
      <c r="AC5" s="3424"/>
    </row>
    <row r="6" spans="1:29" ht="15.75" thickBot="1">
      <c r="A6" s="516"/>
      <c r="B6" s="517"/>
      <c r="C6" s="3449" t="s">
        <v>2931</v>
      </c>
      <c r="D6" s="3450"/>
      <c r="E6" s="3468" t="s">
        <v>2931</v>
      </c>
      <c r="F6" s="3469"/>
      <c r="G6" s="3449" t="s">
        <v>2931</v>
      </c>
      <c r="H6" s="3450"/>
      <c r="I6" s="3449" t="s">
        <v>2931</v>
      </c>
      <c r="J6" s="3450"/>
      <c r="K6" s="513" t="s">
        <v>525</v>
      </c>
      <c r="L6" s="2118"/>
      <c r="M6" s="2119"/>
      <c r="N6" s="2119"/>
      <c r="O6" s="2119"/>
      <c r="P6" s="3446"/>
      <c r="Q6" s="3447"/>
      <c r="R6" s="3430"/>
      <c r="S6" s="3431"/>
      <c r="T6" s="3432"/>
      <c r="U6" s="3433"/>
      <c r="V6" s="3448"/>
      <c r="W6" s="3448"/>
      <c r="X6" s="1553"/>
      <c r="Y6" s="3432"/>
      <c r="Z6" s="3433"/>
      <c r="AA6" s="3425"/>
      <c r="AB6" s="3448"/>
      <c r="AC6" s="3425"/>
    </row>
    <row r="7" spans="1:29" s="1215" customFormat="1" ht="15.75" thickBot="1">
      <c r="A7" s="2867"/>
      <c r="B7" s="2874" t="s">
        <v>526</v>
      </c>
      <c r="C7" s="518">
        <f>'数据-取费表'!B2</f>
        <v>43700</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26" t="s">
        <v>527</v>
      </c>
      <c r="Q7" s="3435"/>
      <c r="R7" s="1554" t="s">
        <v>8</v>
      </c>
      <c r="S7" s="1555">
        <f t="shared" ref="S7:S15" si="0">F7</f>
        <v>0</v>
      </c>
      <c r="T7" s="1554" t="s">
        <v>8</v>
      </c>
      <c r="U7" s="1555">
        <f t="shared" ref="U7:U15" si="1">H7</f>
        <v>0</v>
      </c>
      <c r="V7" s="1554" t="s">
        <v>8</v>
      </c>
      <c r="W7" s="1555">
        <f t="shared" ref="W7:W15"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26" t="s">
        <v>530</v>
      </c>
      <c r="Q8" s="3427"/>
      <c r="R8" s="1554" t="s">
        <v>8</v>
      </c>
      <c r="S8" s="1555">
        <f t="shared" si="0"/>
        <v>0</v>
      </c>
      <c r="T8" s="1554" t="s">
        <v>8</v>
      </c>
      <c r="U8" s="1555">
        <f t="shared" si="1"/>
        <v>0</v>
      </c>
      <c r="V8" s="1554" t="s">
        <v>8</v>
      </c>
      <c r="W8" s="1555">
        <f t="shared" si="2"/>
        <v>0</v>
      </c>
      <c r="X8" s="1556"/>
      <c r="Y8" s="3426" t="s">
        <v>530</v>
      </c>
      <c r="Z8" s="3427"/>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434" t="s">
        <v>532</v>
      </c>
      <c r="Q9" s="1146" t="str">
        <f t="shared" ref="Q9:Q15" si="6">B9</f>
        <v>用途</v>
      </c>
      <c r="R9" s="1554" t="s">
        <v>8</v>
      </c>
      <c r="S9" s="1555">
        <f t="shared" si="0"/>
        <v>100</v>
      </c>
      <c r="T9" s="1554" t="s">
        <v>8</v>
      </c>
      <c r="U9" s="1555">
        <f t="shared" si="1"/>
        <v>100</v>
      </c>
      <c r="V9" s="1554" t="s">
        <v>8</v>
      </c>
      <c r="W9" s="1555">
        <f t="shared" si="2"/>
        <v>100</v>
      </c>
      <c r="X9" s="1556"/>
      <c r="Y9" s="3391"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434"/>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434"/>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434"/>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434"/>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71.25">
      <c r="A15" s="2865" t="s">
        <v>2751</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36" t="s">
        <v>537</v>
      </c>
      <c r="Q15" s="1558" t="str">
        <f t="shared" si="6"/>
        <v>商业繁华度</v>
      </c>
      <c r="R15" s="1559" t="s">
        <v>8</v>
      </c>
      <c r="S15" s="1560">
        <f t="shared" si="0"/>
        <v>100</v>
      </c>
      <c r="T15" s="1559" t="s">
        <v>8</v>
      </c>
      <c r="U15" s="1560">
        <f t="shared" si="1"/>
        <v>100</v>
      </c>
      <c r="V15" s="1559" t="s">
        <v>8</v>
      </c>
      <c r="W15" s="1560">
        <f t="shared" si="2"/>
        <v>100</v>
      </c>
      <c r="X15" s="1553"/>
      <c r="Y15" s="3436" t="s">
        <v>537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37"/>
      <c r="Q16" s="1558"/>
      <c r="R16" s="1559"/>
      <c r="S16" s="1560"/>
      <c r="T16" s="1559"/>
      <c r="U16" s="1560"/>
      <c r="V16" s="1559"/>
      <c r="W16" s="1560"/>
      <c r="X16" s="1553"/>
      <c r="Y16" s="3437"/>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37"/>
      <c r="Q17" s="1558" t="str">
        <f>B17</f>
        <v>交通便捷度</v>
      </c>
      <c r="R17" s="1559" t="s">
        <v>8</v>
      </c>
      <c r="S17" s="1560">
        <f>F17</f>
        <v>100</v>
      </c>
      <c r="T17" s="1559" t="s">
        <v>8</v>
      </c>
      <c r="U17" s="1560">
        <f>H17</f>
        <v>100</v>
      </c>
      <c r="V17" s="1559" t="s">
        <v>8</v>
      </c>
      <c r="W17" s="1560">
        <f>J17</f>
        <v>100</v>
      </c>
      <c r="X17" s="1553"/>
      <c r="Y17" s="343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37"/>
      <c r="Q18" s="1558"/>
      <c r="R18" s="1559"/>
      <c r="S18" s="1560"/>
      <c r="T18" s="1559"/>
      <c r="U18" s="1560"/>
      <c r="V18" s="1559"/>
      <c r="W18" s="1560"/>
      <c r="X18" s="1553"/>
      <c r="Y18" s="3437"/>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37"/>
      <c r="Q19" s="1558" t="str">
        <f>B19</f>
        <v>公共配套设施</v>
      </c>
      <c r="R19" s="1559" t="s">
        <v>8</v>
      </c>
      <c r="S19" s="1560">
        <f>F19</f>
        <v>100</v>
      </c>
      <c r="T19" s="1559" t="s">
        <v>8</v>
      </c>
      <c r="U19" s="1560">
        <f>H19</f>
        <v>100</v>
      </c>
      <c r="V19" s="1559" t="s">
        <v>8</v>
      </c>
      <c r="W19" s="1560">
        <f>J19</f>
        <v>100</v>
      </c>
      <c r="X19" s="1553"/>
      <c r="Y19" s="343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37"/>
      <c r="Q20" s="1558"/>
      <c r="R20" s="1559"/>
      <c r="S20" s="1560"/>
      <c r="T20" s="1559"/>
      <c r="U20" s="1560"/>
      <c r="V20" s="1559"/>
      <c r="W20" s="1560"/>
      <c r="X20" s="1553"/>
      <c r="Y20" s="3437"/>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37"/>
      <c r="Q21" s="2543" t="str">
        <f>B21</f>
        <v>基础设施水平</v>
      </c>
      <c r="R21" s="1559" t="s">
        <v>8</v>
      </c>
      <c r="S21" s="1560">
        <f>F21</f>
        <v>100</v>
      </c>
      <c r="T21" s="1559" t="s">
        <v>8</v>
      </c>
      <c r="U21" s="1560">
        <f>H21</f>
        <v>100</v>
      </c>
      <c r="V21" s="1559" t="s">
        <v>8</v>
      </c>
      <c r="W21" s="1560">
        <f>J21</f>
        <v>100</v>
      </c>
      <c r="X21" s="2545"/>
      <c r="Y21" s="343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37"/>
      <c r="Q22" s="2543"/>
      <c r="R22" s="1559"/>
      <c r="S22" s="1560"/>
      <c r="T22" s="1559"/>
      <c r="U22" s="1560"/>
      <c r="V22" s="1559"/>
      <c r="W22" s="1560"/>
      <c r="X22" s="2545"/>
      <c r="Y22" s="3437"/>
      <c r="Z22" s="2544"/>
      <c r="AA22" s="1562">
        <v>1</v>
      </c>
      <c r="AB22" s="1562">
        <v>1</v>
      </c>
      <c r="AC22" s="1562">
        <v>1</v>
      </c>
    </row>
    <row r="23" spans="1:29" ht="57">
      <c r="A23" s="531"/>
      <c r="B23" s="870" t="s">
        <v>294</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37"/>
      <c r="Q23" s="1558" t="str">
        <f>B23</f>
        <v>自然及人文环境</v>
      </c>
      <c r="R23" s="1559" t="s">
        <v>8</v>
      </c>
      <c r="S23" s="1560">
        <f>F23</f>
        <v>100</v>
      </c>
      <c r="T23" s="1559" t="s">
        <v>8</v>
      </c>
      <c r="U23" s="1560">
        <f>H23</f>
        <v>100</v>
      </c>
      <c r="V23" s="1559" t="s">
        <v>8</v>
      </c>
      <c r="W23" s="1560">
        <f>J23</f>
        <v>100</v>
      </c>
      <c r="X23" s="1553"/>
      <c r="Y23" s="343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37"/>
      <c r="Q24" s="1558"/>
      <c r="R24" s="1559"/>
      <c r="S24" s="1560"/>
      <c r="T24" s="1559"/>
      <c r="U24" s="1560"/>
      <c r="V24" s="1559"/>
      <c r="W24" s="1560"/>
      <c r="X24" s="1553"/>
      <c r="Y24" s="3437"/>
      <c r="Z24" s="1561"/>
      <c r="AA24" s="1562">
        <v>1</v>
      </c>
      <c r="AB24" s="1562">
        <v>1</v>
      </c>
      <c r="AC24" s="1562">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37"/>
      <c r="Q25" s="1558" t="str">
        <f t="shared" ref="Q25:Q46" si="11">B25</f>
        <v>临街状况</v>
      </c>
      <c r="R25" s="1559" t="s">
        <v>8</v>
      </c>
      <c r="S25" s="1560">
        <f>F25</f>
        <v>100</v>
      </c>
      <c r="T25" s="1559" t="s">
        <v>8</v>
      </c>
      <c r="U25" s="1560">
        <f>H25</f>
        <v>100</v>
      </c>
      <c r="V25" s="1559" t="s">
        <v>8</v>
      </c>
      <c r="W25" s="1560">
        <f>J25</f>
        <v>100</v>
      </c>
      <c r="X25" s="1553"/>
      <c r="Y25" s="3437"/>
      <c r="Z25" s="1561" t="str">
        <f>Q25</f>
        <v>临街状况</v>
      </c>
      <c r="AA25" s="1562">
        <f t="shared" si="3"/>
        <v>1</v>
      </c>
      <c r="AB25" s="1562">
        <f t="shared" si="4"/>
        <v>1</v>
      </c>
      <c r="AC25" s="1562">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37"/>
      <c r="Q26" s="1558" t="str">
        <f t="shared" si="11"/>
        <v>平面位置/可视性</v>
      </c>
      <c r="R26" s="1559" t="s">
        <v>8</v>
      </c>
      <c r="S26" s="1560">
        <f>F26</f>
        <v>100</v>
      </c>
      <c r="T26" s="1559" t="s">
        <v>8</v>
      </c>
      <c r="U26" s="1560">
        <f>H26</f>
        <v>100</v>
      </c>
      <c r="V26" s="1559" t="s">
        <v>8</v>
      </c>
      <c r="W26" s="1560">
        <f>J26</f>
        <v>100</v>
      </c>
      <c r="X26" s="1553"/>
      <c r="Y26" s="3437"/>
      <c r="Z26" s="1561" t="str">
        <f>Q26</f>
        <v>平面位置/可视性</v>
      </c>
      <c r="AA26" s="1562">
        <f t="shared" si="3"/>
        <v>1</v>
      </c>
      <c r="AB26" s="1562">
        <f t="shared" si="4"/>
        <v>1</v>
      </c>
      <c r="AC26" s="1562">
        <f t="shared" si="5"/>
        <v>1</v>
      </c>
    </row>
    <row r="27" spans="1:29" s="1215" customFormat="1" ht="15">
      <c r="A27" s="535"/>
      <c r="B27" s="870" t="s">
        <v>756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37"/>
      <c r="Q27" s="1146" t="str">
        <f t="shared" si="11"/>
        <v>人流量</v>
      </c>
      <c r="R27" s="1554" t="s">
        <v>8</v>
      </c>
      <c r="S27" s="1555">
        <f>F27</f>
        <v>100</v>
      </c>
      <c r="T27" s="1554" t="s">
        <v>8</v>
      </c>
      <c r="U27" s="1555">
        <f>H27</f>
        <v>100</v>
      </c>
      <c r="V27" s="1554" t="s">
        <v>8</v>
      </c>
      <c r="W27" s="1555">
        <f>J27</f>
        <v>100</v>
      </c>
      <c r="X27" s="1556"/>
      <c r="Y27" s="3437"/>
      <c r="Z27" s="1145" t="str">
        <f>Q27</f>
        <v>人流量</v>
      </c>
      <c r="AA27" s="1562">
        <f>D27/F27</f>
        <v>1</v>
      </c>
      <c r="AB27" s="1562">
        <f>D27/H27</f>
        <v>1</v>
      </c>
      <c r="AC27" s="1562">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3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3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37"/>
      <c r="Q29" s="1558">
        <f t="shared" si="11"/>
        <v>111</v>
      </c>
      <c r="R29" s="1559" t="s">
        <v>8</v>
      </c>
      <c r="S29" s="1560">
        <f t="shared" si="12"/>
        <v>100</v>
      </c>
      <c r="T29" s="1559" t="s">
        <v>8</v>
      </c>
      <c r="U29" s="1560">
        <f t="shared" si="13"/>
        <v>100</v>
      </c>
      <c r="V29" s="1559" t="s">
        <v>8</v>
      </c>
      <c r="W29" s="1560">
        <f t="shared" si="14"/>
        <v>100</v>
      </c>
      <c r="X29" s="1553"/>
      <c r="Y29" s="343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37"/>
      <c r="Q30" s="1558">
        <f t="shared" si="11"/>
        <v>111</v>
      </c>
      <c r="R30" s="1559" t="s">
        <v>8</v>
      </c>
      <c r="S30" s="1560">
        <f t="shared" si="12"/>
        <v>100</v>
      </c>
      <c r="T30" s="1559" t="s">
        <v>8</v>
      </c>
      <c r="U30" s="1560">
        <f t="shared" si="13"/>
        <v>100</v>
      </c>
      <c r="V30" s="1559" t="s">
        <v>8</v>
      </c>
      <c r="W30" s="1560">
        <f t="shared" si="14"/>
        <v>100</v>
      </c>
      <c r="X30" s="1553"/>
      <c r="Y30" s="3437"/>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37"/>
      <c r="Q31" s="1558">
        <f t="shared" si="11"/>
        <v>111</v>
      </c>
      <c r="R31" s="1559" t="s">
        <v>8</v>
      </c>
      <c r="S31" s="1560">
        <f t="shared" si="12"/>
        <v>100</v>
      </c>
      <c r="T31" s="1559" t="s">
        <v>8</v>
      </c>
      <c r="U31" s="1560">
        <f t="shared" si="13"/>
        <v>100</v>
      </c>
      <c r="V31" s="1559" t="s">
        <v>8</v>
      </c>
      <c r="W31" s="1560">
        <f t="shared" si="14"/>
        <v>100</v>
      </c>
      <c r="X31" s="1553"/>
      <c r="Y31" s="3437"/>
      <c r="Z31" s="1561">
        <f t="shared" si="15"/>
        <v>111</v>
      </c>
      <c r="AA31" s="1562">
        <f t="shared" si="3"/>
        <v>1</v>
      </c>
      <c r="AB31" s="1562">
        <f t="shared" si="4"/>
        <v>1</v>
      </c>
      <c r="AC31" s="1562">
        <f t="shared" si="5"/>
        <v>1</v>
      </c>
    </row>
    <row r="32" spans="1:29" ht="15">
      <c r="A32" s="2862" t="s">
        <v>2752</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38" t="s">
        <v>547</v>
      </c>
      <c r="Q32" s="1558" t="str">
        <f t="shared" si="11"/>
        <v>商业类型</v>
      </c>
      <c r="R32" s="1559" t="s">
        <v>8</v>
      </c>
      <c r="S32" s="1560">
        <f t="shared" si="12"/>
        <v>100</v>
      </c>
      <c r="T32" s="1559" t="s">
        <v>8</v>
      </c>
      <c r="U32" s="1560">
        <f t="shared" si="13"/>
        <v>100</v>
      </c>
      <c r="V32" s="1559" t="s">
        <v>8</v>
      </c>
      <c r="W32" s="1560">
        <f t="shared" si="14"/>
        <v>100</v>
      </c>
      <c r="X32" s="1553"/>
      <c r="Y32" s="3439" t="s">
        <v>547</v>
      </c>
      <c r="Z32" s="1561" t="str">
        <f t="shared" si="15"/>
        <v>商业类型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39"/>
      <c r="Q33" s="1590" t="str">
        <f t="shared" si="11"/>
        <v>项目建筑规模</v>
      </c>
      <c r="R33" s="1563" t="s">
        <v>8</v>
      </c>
      <c r="S33" s="1564" t="e">
        <f t="shared" si="12"/>
        <v>#N/A</v>
      </c>
      <c r="T33" s="1563" t="s">
        <v>8</v>
      </c>
      <c r="U33" s="1564" t="e">
        <f t="shared" si="13"/>
        <v>#N/A</v>
      </c>
      <c r="V33" s="1563" t="s">
        <v>8</v>
      </c>
      <c r="W33" s="1564" t="e">
        <f t="shared" si="14"/>
        <v>#N/A</v>
      </c>
      <c r="X33" s="1565"/>
      <c r="Y33" s="3439"/>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39"/>
      <c r="Q34" s="1558" t="str">
        <f t="shared" si="11"/>
        <v>建筑结构</v>
      </c>
      <c r="R34" s="1559" t="s">
        <v>8</v>
      </c>
      <c r="S34" s="1560">
        <f t="shared" si="12"/>
        <v>100</v>
      </c>
      <c r="T34" s="1559" t="s">
        <v>8</v>
      </c>
      <c r="U34" s="1560">
        <f t="shared" si="13"/>
        <v>100</v>
      </c>
      <c r="V34" s="1559" t="s">
        <v>8</v>
      </c>
      <c r="W34" s="1560">
        <f t="shared" si="14"/>
        <v>100</v>
      </c>
      <c r="X34" s="1553"/>
      <c r="Y34" s="3439"/>
      <c r="Z34" s="1561" t="str">
        <f t="shared" si="15"/>
        <v>建筑结构</v>
      </c>
      <c r="AA34" s="1562">
        <f t="shared" si="3"/>
        <v>1</v>
      </c>
      <c r="AB34" s="1562">
        <f t="shared" si="4"/>
        <v>1</v>
      </c>
      <c r="AC34" s="1562">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39"/>
      <c r="Q35" s="1558" t="str">
        <f t="shared" si="11"/>
        <v>公共部分装修</v>
      </c>
      <c r="R35" s="1559" t="s">
        <v>8</v>
      </c>
      <c r="S35" s="1560">
        <f t="shared" si="12"/>
        <v>100</v>
      </c>
      <c r="T35" s="1559" t="s">
        <v>8</v>
      </c>
      <c r="U35" s="1560">
        <f t="shared" si="13"/>
        <v>100</v>
      </c>
      <c r="V35" s="1559" t="s">
        <v>8</v>
      </c>
      <c r="W35" s="1560">
        <f t="shared" si="14"/>
        <v>100</v>
      </c>
      <c r="X35" s="1553"/>
      <c r="Y35" s="3439"/>
      <c r="Z35" s="1561" t="str">
        <f t="shared" si="15"/>
        <v>公共部分装修</v>
      </c>
      <c r="AA35" s="1562">
        <f t="shared" si="3"/>
        <v>1</v>
      </c>
      <c r="AB35" s="1562">
        <f t="shared" si="4"/>
        <v>1</v>
      </c>
      <c r="AC35" s="1562">
        <f t="shared" si="5"/>
        <v>1</v>
      </c>
    </row>
    <row r="36" spans="1:29" ht="15">
      <c r="A36" s="593"/>
      <c r="B36" s="526" t="s">
        <v>761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39"/>
      <c r="Q36" s="1558" t="str">
        <f t="shared" si="11"/>
        <v>成新度</v>
      </c>
      <c r="R36" s="1559" t="s">
        <v>8</v>
      </c>
      <c r="S36" s="1560" t="e">
        <f t="shared" si="12"/>
        <v>#N/A</v>
      </c>
      <c r="T36" s="1559" t="s">
        <v>8</v>
      </c>
      <c r="U36" s="1560" t="e">
        <f t="shared" si="13"/>
        <v>#N/A</v>
      </c>
      <c r="V36" s="1559" t="s">
        <v>8</v>
      </c>
      <c r="W36" s="1560" t="e">
        <f t="shared" si="14"/>
        <v>#N/A</v>
      </c>
      <c r="X36" s="1553"/>
      <c r="Y36" s="3439"/>
      <c r="Z36" s="1561" t="str">
        <f t="shared" si="15"/>
        <v>成新度</v>
      </c>
      <c r="AA36" s="1562" t="e">
        <f t="shared" si="3"/>
        <v>#N/A</v>
      </c>
      <c r="AB36" s="1562" t="e">
        <f t="shared" si="4"/>
        <v>#N/A</v>
      </c>
      <c r="AC36" s="1562" t="e">
        <f t="shared" si="5"/>
        <v>#N/A</v>
      </c>
    </row>
    <row r="37" spans="1:29" s="1215" customFormat="1" ht="15">
      <c r="A37" s="599"/>
      <c r="B37" s="1880"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39"/>
      <c r="Q37" s="1146" t="str">
        <f t="shared" si="11"/>
        <v>市政基础设施</v>
      </c>
      <c r="R37" s="1554" t="s">
        <v>8</v>
      </c>
      <c r="S37" s="1555">
        <f t="shared" si="12"/>
        <v>100</v>
      </c>
      <c r="T37" s="1554" t="s">
        <v>8</v>
      </c>
      <c r="U37" s="1555">
        <f t="shared" si="13"/>
        <v>100</v>
      </c>
      <c r="V37" s="1554" t="s">
        <v>8</v>
      </c>
      <c r="W37" s="1555">
        <f t="shared" si="14"/>
        <v>100</v>
      </c>
      <c r="X37" s="1556"/>
      <c r="Y37" s="3439"/>
      <c r="Z37" s="1145" t="str">
        <f t="shared" si="15"/>
        <v>市政基础设施</v>
      </c>
      <c r="AA37" s="1557">
        <f t="shared" si="3"/>
        <v>1</v>
      </c>
      <c r="AB37" s="1557">
        <f t="shared" si="4"/>
        <v>1</v>
      </c>
      <c r="AC37" s="1557">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39" t="s">
        <v>763</v>
      </c>
      <c r="Q38" s="1558" t="str">
        <f t="shared" si="11"/>
        <v>业态</v>
      </c>
      <c r="R38" s="1559" t="s">
        <v>8</v>
      </c>
      <c r="S38" s="1560">
        <f t="shared" si="12"/>
        <v>100</v>
      </c>
      <c r="T38" s="1559" t="s">
        <v>8</v>
      </c>
      <c r="U38" s="1560">
        <f t="shared" si="13"/>
        <v>100</v>
      </c>
      <c r="V38" s="1559" t="s">
        <v>8</v>
      </c>
      <c r="W38" s="1560">
        <f t="shared" si="14"/>
        <v>100</v>
      </c>
      <c r="X38" s="1553"/>
      <c r="Y38" s="3439" t="s">
        <v>763</v>
      </c>
      <c r="Z38" s="1561" t="str">
        <f t="shared" si="15"/>
        <v>业态</v>
      </c>
      <c r="AA38" s="1562">
        <f t="shared" si="3"/>
        <v>1</v>
      </c>
      <c r="AB38" s="1562">
        <f t="shared" si="4"/>
        <v>1</v>
      </c>
      <c r="AC38" s="1562">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39"/>
      <c r="Q39" s="1558" t="str">
        <f t="shared" si="11"/>
        <v>层高</v>
      </c>
      <c r="R39" s="1559" t="s">
        <v>8</v>
      </c>
      <c r="S39" s="1560">
        <f t="shared" si="12"/>
        <v>100</v>
      </c>
      <c r="T39" s="1559" t="s">
        <v>8</v>
      </c>
      <c r="U39" s="1560">
        <f t="shared" si="13"/>
        <v>100</v>
      </c>
      <c r="V39" s="1559" t="s">
        <v>8</v>
      </c>
      <c r="W39" s="1560">
        <f t="shared" si="14"/>
        <v>100</v>
      </c>
      <c r="X39" s="1553"/>
      <c r="Y39" s="3439"/>
      <c r="Z39" s="1561" t="str">
        <f t="shared" si="15"/>
        <v>层高</v>
      </c>
      <c r="AA39" s="1562">
        <f t="shared" si="3"/>
        <v>1</v>
      </c>
      <c r="AB39" s="1562">
        <f t="shared" si="4"/>
        <v>1</v>
      </c>
      <c r="AC39" s="1562">
        <f t="shared" si="5"/>
        <v>1</v>
      </c>
    </row>
    <row r="40" spans="1:29" ht="15">
      <c r="A40" s="593"/>
      <c r="B40" s="526" t="s">
        <v>765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39"/>
      <c r="Q40" s="1558" t="str">
        <f t="shared" si="11"/>
        <v>单套建筑面积</v>
      </c>
      <c r="R40" s="1559" t="s">
        <v>8</v>
      </c>
      <c r="S40" s="1560">
        <f t="shared" si="12"/>
        <v>100</v>
      </c>
      <c r="T40" s="1559" t="s">
        <v>8</v>
      </c>
      <c r="U40" s="1560">
        <f t="shared" si="13"/>
        <v>100</v>
      </c>
      <c r="V40" s="1559" t="s">
        <v>8</v>
      </c>
      <c r="W40" s="1560">
        <f t="shared" si="14"/>
        <v>100</v>
      </c>
      <c r="X40" s="1553"/>
      <c r="Y40" s="3439"/>
      <c r="Z40" s="1561" t="str">
        <f t="shared" si="15"/>
        <v>单套建筑面积</v>
      </c>
      <c r="AA40" s="1562">
        <f t="shared" si="3"/>
        <v>1</v>
      </c>
      <c r="AB40" s="1562">
        <f t="shared" si="4"/>
        <v>1</v>
      </c>
      <c r="AC40" s="1562">
        <f t="shared" si="5"/>
        <v>1</v>
      </c>
    </row>
    <row r="41" spans="1:29" s="1334" customFormat="1" ht="15">
      <c r="A41" s="602"/>
      <c r="B41" s="903"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39"/>
      <c r="Q41" s="1590" t="str">
        <f t="shared" si="11"/>
        <v>进深比</v>
      </c>
      <c r="R41" s="1563" t="s">
        <v>8</v>
      </c>
      <c r="S41" s="1564">
        <f t="shared" si="12"/>
        <v>100</v>
      </c>
      <c r="T41" s="1563" t="s">
        <v>8</v>
      </c>
      <c r="U41" s="1564">
        <f t="shared" si="13"/>
        <v>100</v>
      </c>
      <c r="V41" s="1563" t="s">
        <v>8</v>
      </c>
      <c r="W41" s="1564">
        <f t="shared" si="14"/>
        <v>100</v>
      </c>
      <c r="X41" s="1565"/>
      <c r="Y41" s="3439"/>
      <c r="Z41" s="1566" t="str">
        <f t="shared" si="15"/>
        <v>进深比</v>
      </c>
      <c r="AA41" s="1562">
        <f t="shared" si="3"/>
        <v>1</v>
      </c>
      <c r="AB41" s="1562">
        <f t="shared" si="4"/>
        <v>1</v>
      </c>
      <c r="AC41" s="1562">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39"/>
      <c r="Q42" s="1558" t="str">
        <f t="shared" si="11"/>
        <v>内部装修</v>
      </c>
      <c r="R42" s="1559" t="s">
        <v>8</v>
      </c>
      <c r="S42" s="1560">
        <f t="shared" si="12"/>
        <v>100</v>
      </c>
      <c r="T42" s="1559" t="s">
        <v>8</v>
      </c>
      <c r="U42" s="1560">
        <f t="shared" si="13"/>
        <v>100</v>
      </c>
      <c r="V42" s="1559" t="s">
        <v>8</v>
      </c>
      <c r="W42" s="1560">
        <f t="shared" si="14"/>
        <v>100</v>
      </c>
      <c r="X42" s="1553"/>
      <c r="Y42" s="3439"/>
      <c r="Z42" s="1561" t="str">
        <f t="shared" si="15"/>
        <v>内部装修</v>
      </c>
      <c r="AA42" s="1562">
        <f t="shared" si="3"/>
        <v>1</v>
      </c>
      <c r="AB42" s="1562">
        <f t="shared" si="4"/>
        <v>1</v>
      </c>
      <c r="AC42" s="1562">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39"/>
      <c r="Q43" s="1558" t="str">
        <f t="shared" si="11"/>
        <v>内部装修维护情况</v>
      </c>
      <c r="R43" s="1559" t="s">
        <v>8</v>
      </c>
      <c r="S43" s="1560">
        <f t="shared" si="12"/>
        <v>100</v>
      </c>
      <c r="T43" s="1559" t="s">
        <v>8</v>
      </c>
      <c r="U43" s="1560">
        <f t="shared" si="13"/>
        <v>100</v>
      </c>
      <c r="V43" s="1559" t="s">
        <v>8</v>
      </c>
      <c r="W43" s="1560">
        <f t="shared" si="14"/>
        <v>100</v>
      </c>
      <c r="X43" s="1553"/>
      <c r="Y43" s="343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39"/>
      <c r="Q44" s="1146">
        <f t="shared" si="11"/>
        <v>111</v>
      </c>
      <c r="R44" s="1554" t="s">
        <v>8</v>
      </c>
      <c r="S44" s="1555">
        <f t="shared" si="12"/>
        <v>100</v>
      </c>
      <c r="T44" s="1554" t="s">
        <v>8</v>
      </c>
      <c r="U44" s="1555">
        <f t="shared" si="13"/>
        <v>100</v>
      </c>
      <c r="V44" s="1554" t="s">
        <v>8</v>
      </c>
      <c r="W44" s="1555">
        <f t="shared" si="14"/>
        <v>100</v>
      </c>
      <c r="X44" s="1556"/>
      <c r="Y44" s="343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39"/>
      <c r="Q45" s="1558">
        <f t="shared" si="11"/>
        <v>111</v>
      </c>
      <c r="R45" s="1559" t="s">
        <v>8</v>
      </c>
      <c r="S45" s="1560">
        <f t="shared" si="12"/>
        <v>100</v>
      </c>
      <c r="T45" s="1559" t="s">
        <v>8</v>
      </c>
      <c r="U45" s="1560">
        <f t="shared" si="13"/>
        <v>100</v>
      </c>
      <c r="V45" s="1559" t="s">
        <v>8</v>
      </c>
      <c r="W45" s="1560">
        <f t="shared" si="14"/>
        <v>100</v>
      </c>
      <c r="X45" s="1553"/>
      <c r="Y45" s="3439"/>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539"/>
      <c r="Q46" s="1558">
        <f t="shared" si="11"/>
        <v>111</v>
      </c>
      <c r="R46" s="1559" t="s">
        <v>8</v>
      </c>
      <c r="S46" s="1560">
        <f t="shared" si="12"/>
        <v>100</v>
      </c>
      <c r="T46" s="1559" t="s">
        <v>8</v>
      </c>
      <c r="U46" s="1560">
        <f t="shared" si="13"/>
        <v>100</v>
      </c>
      <c r="V46" s="1559" t="s">
        <v>8</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1</v>
      </c>
      <c r="D47" s="2592"/>
      <c r="E47" s="2593"/>
      <c r="F47" s="2594"/>
      <c r="G47" s="2595"/>
      <c r="H47" s="2596"/>
      <c r="I47" s="2593"/>
      <c r="J47" s="2596"/>
      <c r="K47" s="1596"/>
      <c r="L47" s="2129"/>
      <c r="M47" s="2130"/>
      <c r="N47" s="2119"/>
      <c r="O47" s="2130"/>
      <c r="P47" s="3434" t="str">
        <f>A47</f>
        <v>成交单价（元/平方米）</v>
      </c>
      <c r="Q47" s="3434"/>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7"/>
      <c r="L48" s="2129"/>
      <c r="M48" s="2130"/>
      <c r="N48" s="2119"/>
      <c r="O48" s="2130"/>
      <c r="P48" s="3434" t="str">
        <f>A48</f>
        <v>比较价格（元/平方米）</v>
      </c>
      <c r="Q48" s="3434"/>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8"/>
      <c r="L49" s="2129"/>
      <c r="M49" s="2130"/>
      <c r="N49" s="2119"/>
      <c r="O49" s="2130"/>
      <c r="P49" s="3455" t="str">
        <f>A49</f>
        <v>估价对象XX用房的比较价格（楼面单价，元/平方米）</v>
      </c>
      <c r="Q49" s="3456"/>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768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769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2553</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774</v>
      </c>
      <c r="C1" s="503" t="s">
        <v>717</v>
      </c>
      <c r="D1" s="848"/>
      <c r="E1" s="505"/>
      <c r="F1" s="2762"/>
      <c r="G1" s="1586" t="s">
        <v>718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516</v>
      </c>
      <c r="B3" s="509" t="e">
        <f>C50</f>
        <v>#DIV/0!</v>
      </c>
      <c r="C3" s="851" t="s">
        <v>719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518</v>
      </c>
      <c r="B4" s="512"/>
      <c r="C4" s="3440" t="s">
        <v>519</v>
      </c>
      <c r="D4" s="3441"/>
      <c r="E4" s="3464" t="s">
        <v>520</v>
      </c>
      <c r="F4" s="3465"/>
      <c r="G4" s="3440" t="s">
        <v>521</v>
      </c>
      <c r="H4" s="3441"/>
      <c r="I4" s="3440" t="s">
        <v>522</v>
      </c>
      <c r="J4" s="3441"/>
      <c r="K4" s="513" t="s">
        <v>523</v>
      </c>
      <c r="L4" s="2118"/>
      <c r="M4" s="2119"/>
      <c r="N4" s="2119"/>
      <c r="O4" s="2119"/>
      <c r="P4" s="3540" t="s">
        <v>524</v>
      </c>
      <c r="Q4" s="3443"/>
      <c r="R4" s="3428" t="s">
        <v>520</v>
      </c>
      <c r="S4" s="3429"/>
      <c r="T4" s="3428" t="s">
        <v>521</v>
      </c>
      <c r="U4" s="3429"/>
      <c r="V4" s="3448" t="s">
        <v>522</v>
      </c>
      <c r="W4" s="3448"/>
      <c r="X4" s="1553"/>
      <c r="Y4" s="3428" t="s">
        <v>524</v>
      </c>
      <c r="Z4" s="3429"/>
      <c r="AA4" s="3423" t="s">
        <v>520</v>
      </c>
      <c r="AB4" s="3423" t="s">
        <v>521</v>
      </c>
      <c r="AC4" s="3423" t="s">
        <v>522</v>
      </c>
    </row>
    <row r="5" spans="1:29" ht="15">
      <c r="A5" s="514"/>
      <c r="B5" s="515"/>
      <c r="C5" s="3451" t="s">
        <v>2927</v>
      </c>
      <c r="D5" s="3452"/>
      <c r="E5" s="3466" t="s">
        <v>2928</v>
      </c>
      <c r="F5" s="3467"/>
      <c r="G5" s="3451" t="s">
        <v>2929</v>
      </c>
      <c r="H5" s="3452"/>
      <c r="I5" s="3451" t="s">
        <v>2930</v>
      </c>
      <c r="J5" s="3452"/>
      <c r="K5" s="513"/>
      <c r="L5" s="2118"/>
      <c r="M5" s="2119"/>
      <c r="N5" s="2119"/>
      <c r="O5" s="2119"/>
      <c r="P5" s="3541"/>
      <c r="Q5" s="3445"/>
      <c r="R5" s="3430"/>
      <c r="S5" s="3431"/>
      <c r="T5" s="3430"/>
      <c r="U5" s="3431"/>
      <c r="V5" s="3448"/>
      <c r="W5" s="3448"/>
      <c r="X5" s="1553"/>
      <c r="Y5" s="3430"/>
      <c r="Z5" s="3431"/>
      <c r="AA5" s="3424"/>
      <c r="AB5" s="3424"/>
      <c r="AC5" s="3424"/>
    </row>
    <row r="6" spans="1:29" ht="15.75" thickBot="1">
      <c r="A6" s="516"/>
      <c r="B6" s="517"/>
      <c r="C6" s="3449" t="s">
        <v>2931</v>
      </c>
      <c r="D6" s="3450"/>
      <c r="E6" s="3468" t="s">
        <v>2931</v>
      </c>
      <c r="F6" s="3469"/>
      <c r="G6" s="3449" t="s">
        <v>2931</v>
      </c>
      <c r="H6" s="3450"/>
      <c r="I6" s="3449" t="s">
        <v>2931</v>
      </c>
      <c r="J6" s="3450"/>
      <c r="K6" s="513" t="s">
        <v>525</v>
      </c>
      <c r="L6" s="2118"/>
      <c r="M6" s="2119"/>
      <c r="N6" s="2119"/>
      <c r="O6" s="2119"/>
      <c r="P6" s="3542"/>
      <c r="Q6" s="3447"/>
      <c r="R6" s="3430"/>
      <c r="S6" s="3431"/>
      <c r="T6" s="3432"/>
      <c r="U6" s="3433"/>
      <c r="V6" s="3448"/>
      <c r="W6" s="3448"/>
      <c r="X6" s="1553"/>
      <c r="Y6" s="3432"/>
      <c r="Z6" s="3433"/>
      <c r="AA6" s="3425"/>
      <c r="AB6" s="3425"/>
      <c r="AC6" s="3425"/>
    </row>
    <row r="7" spans="1:29" s="1215" customFormat="1" ht="15.75" thickBot="1">
      <c r="A7" s="2867"/>
      <c r="B7" s="2874" t="s">
        <v>526</v>
      </c>
      <c r="C7" s="518">
        <f>'数据-取费表'!B2</f>
        <v>43700</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35" t="s">
        <v>527</v>
      </c>
      <c r="Q7" s="3435"/>
      <c r="R7" s="1554" t="s">
        <v>8</v>
      </c>
      <c r="S7" s="1555">
        <f t="shared" ref="S7:S15" si="0">F7</f>
        <v>0</v>
      </c>
      <c r="T7" s="1554" t="s">
        <v>8</v>
      </c>
      <c r="U7" s="1555">
        <f t="shared" ref="U7:U15" si="1">H7</f>
        <v>0</v>
      </c>
      <c r="V7" s="1554" t="s">
        <v>8</v>
      </c>
      <c r="W7" s="1555">
        <f t="shared" ref="W7:W15"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35" t="s">
        <v>530</v>
      </c>
      <c r="Q8" s="3427"/>
      <c r="R8" s="1554" t="s">
        <v>8</v>
      </c>
      <c r="S8" s="1555">
        <f t="shared" si="0"/>
        <v>0</v>
      </c>
      <c r="T8" s="1554" t="s">
        <v>8</v>
      </c>
      <c r="U8" s="1555">
        <f t="shared" si="1"/>
        <v>0</v>
      </c>
      <c r="V8" s="1554" t="s">
        <v>8</v>
      </c>
      <c r="W8" s="1555">
        <f t="shared" si="2"/>
        <v>0</v>
      </c>
      <c r="X8" s="1556"/>
      <c r="Y8" s="3426" t="s">
        <v>530</v>
      </c>
      <c r="Z8" s="3427"/>
      <c r="AA8" s="1557" t="e">
        <f t="shared" ref="AA8:AA47" si="3">D8/F8</f>
        <v>#DIV/0!</v>
      </c>
      <c r="AB8" s="1557" t="e">
        <f t="shared" ref="AB8:AB47" si="4">D8/H8</f>
        <v>#DIV/0!</v>
      </c>
      <c r="AC8" s="1557" t="e">
        <f t="shared" ref="AC8:AC47" si="5">D8/J8</f>
        <v>#DIV/0!</v>
      </c>
    </row>
    <row r="9" spans="1:29" s="1215" customFormat="1" ht="15">
      <c r="A9" s="2869"/>
      <c r="B9" s="2876"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434" t="s">
        <v>532</v>
      </c>
      <c r="Q9" s="1146" t="str">
        <f t="shared" ref="Q9:Q15" si="6">B9</f>
        <v>用途</v>
      </c>
      <c r="R9" s="1554" t="s">
        <v>8</v>
      </c>
      <c r="S9" s="1555">
        <f t="shared" si="0"/>
        <v>100</v>
      </c>
      <c r="T9" s="1554" t="s">
        <v>8</v>
      </c>
      <c r="U9" s="1555">
        <f t="shared" si="1"/>
        <v>100</v>
      </c>
      <c r="V9" s="1554" t="s">
        <v>8</v>
      </c>
      <c r="W9" s="1555">
        <f t="shared" si="2"/>
        <v>100</v>
      </c>
      <c r="X9" s="1556"/>
      <c r="Y9" s="3391"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434"/>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434"/>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434"/>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434"/>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71.25">
      <c r="A15" s="2865" t="s">
        <v>2751</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36" t="s">
        <v>537</v>
      </c>
      <c r="Q15" s="1558" t="str">
        <f t="shared" si="6"/>
        <v>办公集聚程度</v>
      </c>
      <c r="R15" s="1559" t="s">
        <v>8</v>
      </c>
      <c r="S15" s="1560">
        <f t="shared" si="0"/>
        <v>100</v>
      </c>
      <c r="T15" s="1559" t="s">
        <v>8</v>
      </c>
      <c r="U15" s="1560">
        <f t="shared" si="1"/>
        <v>100</v>
      </c>
      <c r="V15" s="1559" t="s">
        <v>8</v>
      </c>
      <c r="W15" s="1560">
        <f t="shared" si="2"/>
        <v>100</v>
      </c>
      <c r="X15" s="1553"/>
      <c r="Y15" s="3436" t="s">
        <v>537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37"/>
      <c r="Q16" s="1558"/>
      <c r="R16" s="1559"/>
      <c r="S16" s="1560"/>
      <c r="T16" s="1559"/>
      <c r="U16" s="1560"/>
      <c r="V16" s="1559"/>
      <c r="W16" s="1560"/>
      <c r="X16" s="1553"/>
      <c r="Y16" s="3437"/>
      <c r="Z16" s="1561"/>
      <c r="AA16" s="1562">
        <v>1</v>
      </c>
      <c r="AB16" s="1562">
        <v>1</v>
      </c>
      <c r="AC16" s="1562">
        <v>1</v>
      </c>
    </row>
    <row r="17" spans="1:29" ht="85.5">
      <c r="A17" s="531"/>
      <c r="B17" s="559" t="s">
        <v>293</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37"/>
      <c r="Q17" s="1558" t="str">
        <f>B17</f>
        <v>交通便捷度</v>
      </c>
      <c r="R17" s="1559" t="s">
        <v>8</v>
      </c>
      <c r="S17" s="1560">
        <f>F17</f>
        <v>100</v>
      </c>
      <c r="T17" s="1559" t="s">
        <v>8</v>
      </c>
      <c r="U17" s="1560">
        <f>H17</f>
        <v>100</v>
      </c>
      <c r="V17" s="1559" t="s">
        <v>8</v>
      </c>
      <c r="W17" s="1560">
        <f>J17</f>
        <v>100</v>
      </c>
      <c r="X17" s="1553"/>
      <c r="Y17" s="343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37"/>
      <c r="Q18" s="1558"/>
      <c r="R18" s="1559"/>
      <c r="S18" s="1560"/>
      <c r="T18" s="1559"/>
      <c r="U18" s="1560"/>
      <c r="V18" s="1559"/>
      <c r="W18" s="1560"/>
      <c r="X18" s="1553"/>
      <c r="Y18" s="3437"/>
      <c r="Z18" s="1561"/>
      <c r="AA18" s="1562">
        <v>1</v>
      </c>
      <c r="AB18" s="1562">
        <v>1</v>
      </c>
      <c r="AC18" s="1562">
        <v>1</v>
      </c>
    </row>
    <row r="19" spans="1:29" ht="42.75">
      <c r="A19" s="531"/>
      <c r="B19" s="2567"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37"/>
      <c r="Q19" s="1558" t="str">
        <f>B19</f>
        <v>公共配套设施</v>
      </c>
      <c r="R19" s="1559" t="s">
        <v>8</v>
      </c>
      <c r="S19" s="1560">
        <f>F19</f>
        <v>100</v>
      </c>
      <c r="T19" s="1559" t="s">
        <v>8</v>
      </c>
      <c r="U19" s="1560">
        <f>H19</f>
        <v>100</v>
      </c>
      <c r="V19" s="1559" t="s">
        <v>8</v>
      </c>
      <c r="W19" s="1560">
        <f>J19</f>
        <v>100</v>
      </c>
      <c r="X19" s="1553"/>
      <c r="Y19" s="343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37"/>
      <c r="Q20" s="1558"/>
      <c r="R20" s="1559"/>
      <c r="S20" s="1560"/>
      <c r="T20" s="1559"/>
      <c r="U20" s="1560"/>
      <c r="V20" s="1559"/>
      <c r="W20" s="1560"/>
      <c r="X20" s="1553"/>
      <c r="Y20" s="3437"/>
      <c r="Z20" s="1561"/>
      <c r="AA20" s="1562">
        <v>1</v>
      </c>
      <c r="AB20" s="1562">
        <v>1</v>
      </c>
      <c r="AC20" s="1562">
        <v>1</v>
      </c>
    </row>
    <row r="21" spans="1:29" ht="28.5">
      <c r="A21" s="531"/>
      <c r="B21" s="2555"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37"/>
      <c r="Q21" s="2543" t="str">
        <f>B21</f>
        <v>基础设施水平</v>
      </c>
      <c r="R21" s="1559" t="s">
        <v>8</v>
      </c>
      <c r="S21" s="1560">
        <f>F21</f>
        <v>100</v>
      </c>
      <c r="T21" s="1559" t="s">
        <v>8</v>
      </c>
      <c r="U21" s="1560">
        <f>H21</f>
        <v>100</v>
      </c>
      <c r="V21" s="1559" t="s">
        <v>8</v>
      </c>
      <c r="W21" s="1560">
        <f>J21</f>
        <v>100</v>
      </c>
      <c r="X21" s="2545"/>
      <c r="Y21" s="3437"/>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37"/>
      <c r="Q22" s="2543"/>
      <c r="R22" s="1559"/>
      <c r="S22" s="1560"/>
      <c r="T22" s="1559"/>
      <c r="U22" s="1560"/>
      <c r="V22" s="1559"/>
      <c r="W22" s="1560"/>
      <c r="X22" s="2545"/>
      <c r="Y22" s="3437"/>
      <c r="Z22" s="2544"/>
      <c r="AA22" s="1562">
        <v>1</v>
      </c>
      <c r="AB22" s="1562">
        <v>1</v>
      </c>
      <c r="AC22" s="1562">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37"/>
      <c r="Q23" s="1558" t="str">
        <f>B23</f>
        <v>环境质量</v>
      </c>
      <c r="R23" s="1559" t="s">
        <v>8</v>
      </c>
      <c r="S23" s="1560">
        <f>F23</f>
        <v>100</v>
      </c>
      <c r="T23" s="1559" t="s">
        <v>8</v>
      </c>
      <c r="U23" s="1560">
        <f>H23</f>
        <v>100</v>
      </c>
      <c r="V23" s="1559" t="s">
        <v>8</v>
      </c>
      <c r="W23" s="1560">
        <f>J23</f>
        <v>100</v>
      </c>
      <c r="X23" s="1553"/>
      <c r="Y23" s="343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37"/>
      <c r="Q24" s="1558"/>
      <c r="R24" s="1559"/>
      <c r="S24" s="1560"/>
      <c r="T24" s="1559"/>
      <c r="U24" s="1560"/>
      <c r="V24" s="1559"/>
      <c r="W24" s="1560"/>
      <c r="X24" s="1553"/>
      <c r="Y24" s="3437"/>
      <c r="Z24" s="1561"/>
      <c r="AA24" s="1562">
        <v>1</v>
      </c>
      <c r="AB24" s="1562">
        <v>1</v>
      </c>
      <c r="AC24" s="1562">
        <v>1</v>
      </c>
    </row>
    <row r="25" spans="1:29" ht="27">
      <c r="A25" s="514"/>
      <c r="B25" s="559" t="s">
        <v>545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37"/>
      <c r="Q25" s="1558" t="str">
        <f>B25</f>
        <v>毗邻道路的类型与等级</v>
      </c>
      <c r="R25" s="1559" t="s">
        <v>8</v>
      </c>
      <c r="S25" s="1560">
        <f>F25</f>
        <v>100</v>
      </c>
      <c r="T25" s="1559" t="s">
        <v>8</v>
      </c>
      <c r="U25" s="1560">
        <f>H25</f>
        <v>100</v>
      </c>
      <c r="V25" s="1559" t="s">
        <v>8</v>
      </c>
      <c r="W25" s="1560">
        <f>J25</f>
        <v>100</v>
      </c>
      <c r="X25" s="1553"/>
      <c r="Y25" s="343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37"/>
      <c r="Q26" s="1558"/>
      <c r="R26" s="1559"/>
      <c r="S26" s="1560"/>
      <c r="T26" s="1559"/>
      <c r="U26" s="1560"/>
      <c r="V26" s="1559"/>
      <c r="W26" s="1560"/>
      <c r="X26" s="1553"/>
      <c r="Y26" s="3437"/>
      <c r="Z26" s="1561"/>
      <c r="AA26" s="1562">
        <v>1</v>
      </c>
      <c r="AB26" s="1562">
        <v>1</v>
      </c>
      <c r="AC26" s="1562">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37"/>
      <c r="Q27" s="1558" t="str">
        <f t="shared" ref="Q27:Q47" si="11">B27</f>
        <v>楼层</v>
      </c>
      <c r="R27" s="1559" t="s">
        <v>8</v>
      </c>
      <c r="S27" s="1560">
        <f>F27</f>
        <v>100</v>
      </c>
      <c r="T27" s="1559" t="s">
        <v>8</v>
      </c>
      <c r="U27" s="1560">
        <f>H27</f>
        <v>100</v>
      </c>
      <c r="V27" s="1559" t="s">
        <v>8</v>
      </c>
      <c r="W27" s="1560">
        <f>J27</f>
        <v>100</v>
      </c>
      <c r="X27" s="1553"/>
      <c r="Y27" s="3437"/>
      <c r="Z27" s="1561" t="str">
        <f>Q27</f>
        <v>楼层</v>
      </c>
      <c r="AA27" s="1562">
        <f t="shared" si="3"/>
        <v>1</v>
      </c>
      <c r="AB27" s="1562">
        <f t="shared" si="4"/>
        <v>1</v>
      </c>
      <c r="AC27" s="1562">
        <f t="shared" si="5"/>
        <v>1</v>
      </c>
    </row>
    <row r="28" spans="1:29" s="1215" customFormat="1" ht="15">
      <c r="A28" s="535"/>
      <c r="B28" s="559" t="s">
        <v>776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37"/>
      <c r="Q28" s="1146" t="str">
        <f t="shared" si="11"/>
        <v>朝向</v>
      </c>
      <c r="R28" s="1554" t="s">
        <v>8</v>
      </c>
      <c r="S28" s="1555">
        <f>F28</f>
        <v>100</v>
      </c>
      <c r="T28" s="1554" t="s">
        <v>8</v>
      </c>
      <c r="U28" s="1555">
        <f>H28</f>
        <v>100</v>
      </c>
      <c r="V28" s="1554" t="s">
        <v>8</v>
      </c>
      <c r="W28" s="1555">
        <f>J28</f>
        <v>100</v>
      </c>
      <c r="X28" s="1556"/>
      <c r="Y28" s="343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37"/>
      <c r="Q29" s="1558">
        <f t="shared" si="11"/>
        <v>111</v>
      </c>
      <c r="R29" s="1559" t="s">
        <v>8</v>
      </c>
      <c r="S29" s="1560">
        <f t="shared" ref="S29:S47" si="12">F29</f>
        <v>100</v>
      </c>
      <c r="T29" s="1559" t="s">
        <v>8</v>
      </c>
      <c r="U29" s="1560">
        <f t="shared" ref="U29:U47" si="13">H29</f>
        <v>100</v>
      </c>
      <c r="V29" s="1559" t="s">
        <v>8</v>
      </c>
      <c r="W29" s="1560">
        <f t="shared" ref="W29:W47" si="14">J29</f>
        <v>100</v>
      </c>
      <c r="X29" s="1553"/>
      <c r="Y29" s="343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37"/>
      <c r="Q30" s="1558">
        <f t="shared" si="11"/>
        <v>111</v>
      </c>
      <c r="R30" s="1559" t="s">
        <v>8</v>
      </c>
      <c r="S30" s="1560">
        <f t="shared" si="12"/>
        <v>100</v>
      </c>
      <c r="T30" s="1559" t="s">
        <v>8</v>
      </c>
      <c r="U30" s="1560">
        <f t="shared" si="13"/>
        <v>100</v>
      </c>
      <c r="V30" s="1559" t="s">
        <v>8</v>
      </c>
      <c r="W30" s="1560">
        <f t="shared" si="14"/>
        <v>100</v>
      </c>
      <c r="X30" s="1553"/>
      <c r="Y30" s="343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37"/>
      <c r="Q31" s="1558">
        <f t="shared" si="11"/>
        <v>111</v>
      </c>
      <c r="R31" s="1559" t="s">
        <v>8</v>
      </c>
      <c r="S31" s="1560">
        <f t="shared" si="12"/>
        <v>100</v>
      </c>
      <c r="T31" s="1559" t="s">
        <v>8</v>
      </c>
      <c r="U31" s="1560">
        <f t="shared" si="13"/>
        <v>100</v>
      </c>
      <c r="V31" s="1559" t="s">
        <v>8</v>
      </c>
      <c r="W31" s="1560">
        <f t="shared" si="14"/>
        <v>100</v>
      </c>
      <c r="X31" s="1553"/>
      <c r="Y31" s="3437"/>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37"/>
      <c r="Q32" s="1558">
        <f t="shared" si="11"/>
        <v>111</v>
      </c>
      <c r="R32" s="1559" t="s">
        <v>8</v>
      </c>
      <c r="S32" s="1560">
        <f t="shared" si="12"/>
        <v>100</v>
      </c>
      <c r="T32" s="1559" t="s">
        <v>8</v>
      </c>
      <c r="U32" s="1560">
        <f t="shared" si="13"/>
        <v>100</v>
      </c>
      <c r="V32" s="1559" t="s">
        <v>8</v>
      </c>
      <c r="W32" s="1560">
        <f t="shared" si="14"/>
        <v>100</v>
      </c>
      <c r="X32" s="1553"/>
      <c r="Y32" s="3437"/>
      <c r="Z32" s="1561">
        <f t="shared" si="15"/>
        <v>111</v>
      </c>
      <c r="AA32" s="1562">
        <f t="shared" si="3"/>
        <v>1</v>
      </c>
      <c r="AB32" s="1562">
        <f t="shared" si="4"/>
        <v>1</v>
      </c>
      <c r="AC32" s="1562">
        <f t="shared" si="5"/>
        <v>1</v>
      </c>
    </row>
    <row r="33" spans="1:29" ht="15">
      <c r="A33" s="2862" t="s">
        <v>2752</v>
      </c>
      <c r="B33" s="172" t="s">
        <v>777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38" t="s">
        <v>547</v>
      </c>
      <c r="Q33" s="1558" t="str">
        <f t="shared" si="11"/>
        <v>建筑类型</v>
      </c>
      <c r="R33" s="1559" t="s">
        <v>8</v>
      </c>
      <c r="S33" s="1560">
        <f t="shared" si="12"/>
        <v>100</v>
      </c>
      <c r="T33" s="1559" t="s">
        <v>8</v>
      </c>
      <c r="U33" s="1560">
        <f t="shared" si="13"/>
        <v>100</v>
      </c>
      <c r="V33" s="1559" t="s">
        <v>8</v>
      </c>
      <c r="W33" s="1560">
        <f t="shared" si="14"/>
        <v>100</v>
      </c>
      <c r="X33" s="1553"/>
      <c r="Y33" s="3439" t="s">
        <v>547</v>
      </c>
      <c r="Z33" s="1561" t="str">
        <f t="shared" si="15"/>
        <v>建筑类型</v>
      </c>
      <c r="AA33" s="1562">
        <f t="shared" si="3"/>
        <v>1</v>
      </c>
      <c r="AB33" s="1562">
        <f t="shared" si="4"/>
        <v>1</v>
      </c>
      <c r="AC33" s="1562">
        <f t="shared" si="5"/>
        <v>1</v>
      </c>
    </row>
    <row r="34" spans="1:29" s="1334" customFormat="1" ht="15">
      <c r="A34" s="602"/>
      <c r="B34" s="526" t="s">
        <v>723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39"/>
      <c r="Q34" s="1590" t="str">
        <f t="shared" si="11"/>
        <v>项目建筑规模</v>
      </c>
      <c r="R34" s="1563" t="s">
        <v>8</v>
      </c>
      <c r="S34" s="1564" t="e">
        <f t="shared" si="12"/>
        <v>#N/A</v>
      </c>
      <c r="T34" s="1563" t="s">
        <v>8</v>
      </c>
      <c r="U34" s="1564" t="e">
        <f t="shared" si="13"/>
        <v>#N/A</v>
      </c>
      <c r="V34" s="1563" t="s">
        <v>8</v>
      </c>
      <c r="W34" s="1564" t="e">
        <f t="shared" si="14"/>
        <v>#N/A</v>
      </c>
      <c r="X34" s="1565"/>
      <c r="Y34" s="3439"/>
      <c r="Z34" s="1566" t="str">
        <f t="shared" si="15"/>
        <v>项目建筑规模</v>
      </c>
      <c r="AA34" s="1562" t="e">
        <f t="shared" si="3"/>
        <v>#N/A</v>
      </c>
      <c r="AB34" s="1562" t="e">
        <f t="shared" si="4"/>
        <v>#N/A</v>
      </c>
      <c r="AC34" s="1562"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39"/>
      <c r="Q35" s="1558" t="str">
        <f t="shared" si="11"/>
        <v>建筑结构</v>
      </c>
      <c r="R35" s="1559" t="s">
        <v>8</v>
      </c>
      <c r="S35" s="1560">
        <f t="shared" si="12"/>
        <v>100</v>
      </c>
      <c r="T35" s="1559" t="s">
        <v>8</v>
      </c>
      <c r="U35" s="1560">
        <f t="shared" si="13"/>
        <v>100</v>
      </c>
      <c r="V35" s="1559" t="s">
        <v>8</v>
      </c>
      <c r="W35" s="1560">
        <f t="shared" si="14"/>
        <v>100</v>
      </c>
      <c r="X35" s="1553"/>
      <c r="Y35" s="3439"/>
      <c r="Z35" s="1561" t="str">
        <f t="shared" si="15"/>
        <v>建筑结构</v>
      </c>
      <c r="AA35" s="1562">
        <f t="shared" si="3"/>
        <v>1</v>
      </c>
      <c r="AB35" s="1562">
        <f t="shared" si="4"/>
        <v>1</v>
      </c>
      <c r="AC35" s="1562">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39"/>
      <c r="Q36" s="1558" t="str">
        <f t="shared" si="11"/>
        <v>公共部分装修</v>
      </c>
      <c r="R36" s="1559" t="s">
        <v>8</v>
      </c>
      <c r="S36" s="1560">
        <f t="shared" si="12"/>
        <v>100</v>
      </c>
      <c r="T36" s="1559" t="s">
        <v>8</v>
      </c>
      <c r="U36" s="1560">
        <f t="shared" si="13"/>
        <v>100</v>
      </c>
      <c r="V36" s="1559" t="s">
        <v>8</v>
      </c>
      <c r="W36" s="1560">
        <f t="shared" si="14"/>
        <v>100</v>
      </c>
      <c r="X36" s="1553"/>
      <c r="Y36" s="3439"/>
      <c r="Z36" s="1561" t="str">
        <f t="shared" si="15"/>
        <v>公共部分装修</v>
      </c>
      <c r="AA36" s="1562">
        <f t="shared" si="3"/>
        <v>1</v>
      </c>
      <c r="AB36" s="1562">
        <f t="shared" si="4"/>
        <v>1</v>
      </c>
      <c r="AC36" s="1562">
        <f t="shared" si="5"/>
        <v>1</v>
      </c>
    </row>
    <row r="37" spans="1:29" ht="15">
      <c r="A37" s="593"/>
      <c r="B37" s="526" t="s">
        <v>761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39"/>
      <c r="Q37" s="1558" t="str">
        <f t="shared" si="11"/>
        <v>成新度</v>
      </c>
      <c r="R37" s="1559" t="s">
        <v>8</v>
      </c>
      <c r="S37" s="1560" t="e">
        <f t="shared" si="12"/>
        <v>#N/A</v>
      </c>
      <c r="T37" s="1559" t="s">
        <v>8</v>
      </c>
      <c r="U37" s="1560" t="e">
        <f t="shared" si="13"/>
        <v>#N/A</v>
      </c>
      <c r="V37" s="1559" t="s">
        <v>8</v>
      </c>
      <c r="W37" s="1560" t="e">
        <f t="shared" si="14"/>
        <v>#N/A</v>
      </c>
      <c r="X37" s="1553"/>
      <c r="Y37" s="3439"/>
      <c r="Z37" s="1561" t="str">
        <f t="shared" si="15"/>
        <v>成新度</v>
      </c>
      <c r="AA37" s="1562" t="e">
        <f t="shared" si="3"/>
        <v>#N/A</v>
      </c>
      <c r="AB37" s="1562" t="e">
        <f t="shared" si="4"/>
        <v>#N/A</v>
      </c>
      <c r="AC37" s="1562" t="e">
        <f t="shared" si="5"/>
        <v>#N/A</v>
      </c>
    </row>
    <row r="38" spans="1:29" s="1215"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39"/>
      <c r="Q38" s="1146" t="str">
        <f t="shared" si="11"/>
        <v>写字楼等级</v>
      </c>
      <c r="R38" s="1554" t="s">
        <v>8</v>
      </c>
      <c r="S38" s="1555">
        <f t="shared" si="12"/>
        <v>100</v>
      </c>
      <c r="T38" s="1554" t="s">
        <v>8</v>
      </c>
      <c r="U38" s="1555">
        <f t="shared" si="13"/>
        <v>100</v>
      </c>
      <c r="V38" s="1554" t="s">
        <v>8</v>
      </c>
      <c r="W38" s="1555">
        <f t="shared" si="14"/>
        <v>100</v>
      </c>
      <c r="X38" s="1556"/>
      <c r="Y38" s="3439"/>
      <c r="Z38" s="1145" t="str">
        <f t="shared" si="15"/>
        <v>写字楼等级</v>
      </c>
      <c r="AA38" s="1557">
        <f t="shared" si="3"/>
        <v>1</v>
      </c>
      <c r="AB38" s="1557">
        <f t="shared" si="4"/>
        <v>1</v>
      </c>
      <c r="AC38" s="1557">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39" t="s">
        <v>547</v>
      </c>
      <c r="Q39" s="1558" t="str">
        <f t="shared" si="11"/>
        <v>物业管理</v>
      </c>
      <c r="R39" s="1559" t="s">
        <v>8</v>
      </c>
      <c r="S39" s="1560">
        <f t="shared" si="12"/>
        <v>100</v>
      </c>
      <c r="T39" s="1559" t="s">
        <v>8</v>
      </c>
      <c r="U39" s="1560">
        <f t="shared" si="13"/>
        <v>100</v>
      </c>
      <c r="V39" s="1559" t="s">
        <v>8</v>
      </c>
      <c r="W39" s="1560">
        <f t="shared" si="14"/>
        <v>100</v>
      </c>
      <c r="X39" s="1553"/>
      <c r="Y39" s="3439" t="s">
        <v>547</v>
      </c>
      <c r="Z39" s="1561" t="str">
        <f t="shared" si="15"/>
        <v>物业管理</v>
      </c>
      <c r="AA39" s="1562">
        <f t="shared" si="3"/>
        <v>1</v>
      </c>
      <c r="AB39" s="1562">
        <f t="shared" si="4"/>
        <v>1</v>
      </c>
      <c r="AC39" s="1562">
        <f t="shared" si="5"/>
        <v>1</v>
      </c>
    </row>
    <row r="40" spans="1:29" ht="15">
      <c r="A40" s="593"/>
      <c r="B40" s="1880"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39"/>
      <c r="Q40" s="1558" t="str">
        <f t="shared" si="11"/>
        <v>市政基础设施</v>
      </c>
      <c r="R40" s="1559" t="s">
        <v>8</v>
      </c>
      <c r="S40" s="1560">
        <f t="shared" si="12"/>
        <v>100</v>
      </c>
      <c r="T40" s="1559" t="s">
        <v>8</v>
      </c>
      <c r="U40" s="1560">
        <f t="shared" si="13"/>
        <v>100</v>
      </c>
      <c r="V40" s="1559" t="s">
        <v>8</v>
      </c>
      <c r="W40" s="1560">
        <f t="shared" si="14"/>
        <v>100</v>
      </c>
      <c r="X40" s="1553"/>
      <c r="Y40" s="3439"/>
      <c r="Z40" s="1561" t="str">
        <f t="shared" si="15"/>
        <v>市政基础设施</v>
      </c>
      <c r="AA40" s="1562">
        <f t="shared" si="3"/>
        <v>1</v>
      </c>
      <c r="AB40" s="1562">
        <f t="shared" si="4"/>
        <v>1</v>
      </c>
      <c r="AC40" s="1562">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39"/>
      <c r="Q41" s="1558" t="str">
        <f t="shared" si="11"/>
        <v>层高</v>
      </c>
      <c r="R41" s="1559" t="s">
        <v>8</v>
      </c>
      <c r="S41" s="1560">
        <f t="shared" si="12"/>
        <v>100</v>
      </c>
      <c r="T41" s="1559" t="s">
        <v>8</v>
      </c>
      <c r="U41" s="1560">
        <f t="shared" si="13"/>
        <v>100</v>
      </c>
      <c r="V41" s="1559" t="s">
        <v>8</v>
      </c>
      <c r="W41" s="1560">
        <f t="shared" si="14"/>
        <v>100</v>
      </c>
      <c r="X41" s="1553"/>
      <c r="Y41" s="3439"/>
      <c r="Z41" s="1561" t="str">
        <f t="shared" si="15"/>
        <v>层高</v>
      </c>
      <c r="AA41" s="1562">
        <f t="shared" si="3"/>
        <v>1</v>
      </c>
      <c r="AB41" s="1562">
        <f t="shared" si="4"/>
        <v>1</v>
      </c>
      <c r="AC41" s="1562">
        <f t="shared" si="5"/>
        <v>1</v>
      </c>
    </row>
    <row r="42" spans="1:29" s="1334" customFormat="1" ht="15">
      <c r="A42" s="602"/>
      <c r="B42" s="903"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39"/>
      <c r="Q42" s="1590" t="str">
        <f t="shared" si="11"/>
        <v>单套建筑面积</v>
      </c>
      <c r="R42" s="1563" t="s">
        <v>8</v>
      </c>
      <c r="S42" s="1564">
        <f t="shared" si="12"/>
        <v>100</v>
      </c>
      <c r="T42" s="1563" t="s">
        <v>8</v>
      </c>
      <c r="U42" s="1564">
        <f t="shared" si="13"/>
        <v>100</v>
      </c>
      <c r="V42" s="1563" t="s">
        <v>8</v>
      </c>
      <c r="W42" s="1564">
        <f t="shared" si="14"/>
        <v>100</v>
      </c>
      <c r="X42" s="1565"/>
      <c r="Y42" s="3439"/>
      <c r="Z42" s="1566" t="str">
        <f t="shared" si="15"/>
        <v>单套建筑面积</v>
      </c>
      <c r="AA42" s="1562">
        <f t="shared" si="3"/>
        <v>1</v>
      </c>
      <c r="AB42" s="1562">
        <f t="shared" si="4"/>
        <v>1</v>
      </c>
      <c r="AC42" s="1562">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39"/>
      <c r="Q43" s="1558" t="str">
        <f t="shared" si="11"/>
        <v>内部装修</v>
      </c>
      <c r="R43" s="1559" t="s">
        <v>8</v>
      </c>
      <c r="S43" s="1560">
        <f t="shared" si="12"/>
        <v>100</v>
      </c>
      <c r="T43" s="1559" t="s">
        <v>8</v>
      </c>
      <c r="U43" s="1560">
        <f t="shared" si="13"/>
        <v>100</v>
      </c>
      <c r="V43" s="1559" t="s">
        <v>8</v>
      </c>
      <c r="W43" s="1560">
        <f t="shared" si="14"/>
        <v>100</v>
      </c>
      <c r="X43" s="1553"/>
      <c r="Y43" s="3439"/>
      <c r="Z43" s="1561" t="str">
        <f t="shared" si="15"/>
        <v>内部装修</v>
      </c>
      <c r="AA43" s="1562">
        <f t="shared" si="3"/>
        <v>1</v>
      </c>
      <c r="AB43" s="1562">
        <f t="shared" si="4"/>
        <v>1</v>
      </c>
      <c r="AC43" s="1562">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39"/>
      <c r="Q44" s="1558" t="str">
        <f t="shared" si="11"/>
        <v>内部装修维护情况</v>
      </c>
      <c r="R44" s="1559" t="s">
        <v>8</v>
      </c>
      <c r="S44" s="1560">
        <f t="shared" si="12"/>
        <v>100</v>
      </c>
      <c r="T44" s="1559" t="s">
        <v>8</v>
      </c>
      <c r="U44" s="1560">
        <f t="shared" si="13"/>
        <v>100</v>
      </c>
      <c r="V44" s="1559" t="s">
        <v>8</v>
      </c>
      <c r="W44" s="1560">
        <f t="shared" si="14"/>
        <v>100</v>
      </c>
      <c r="X44" s="1553"/>
      <c r="Y44" s="343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39"/>
      <c r="Q45" s="1146">
        <f t="shared" si="11"/>
        <v>111</v>
      </c>
      <c r="R45" s="1554" t="s">
        <v>8</v>
      </c>
      <c r="S45" s="1555">
        <f t="shared" si="12"/>
        <v>100</v>
      </c>
      <c r="T45" s="1554" t="s">
        <v>8</v>
      </c>
      <c r="U45" s="1555">
        <f t="shared" si="13"/>
        <v>100</v>
      </c>
      <c r="V45" s="1554" t="s">
        <v>8</v>
      </c>
      <c r="W45" s="1555">
        <f t="shared" si="14"/>
        <v>100</v>
      </c>
      <c r="X45" s="1556"/>
      <c r="Y45" s="343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39"/>
      <c r="Q46" s="1558">
        <f t="shared" si="11"/>
        <v>111</v>
      </c>
      <c r="R46" s="1559" t="s">
        <v>8</v>
      </c>
      <c r="S46" s="1560">
        <f t="shared" si="12"/>
        <v>100</v>
      </c>
      <c r="T46" s="1559" t="s">
        <v>8</v>
      </c>
      <c r="U46" s="1560">
        <f t="shared" si="13"/>
        <v>100</v>
      </c>
      <c r="V46" s="1559" t="s">
        <v>8</v>
      </c>
      <c r="W46" s="1560">
        <f t="shared" si="14"/>
        <v>100</v>
      </c>
      <c r="X46" s="1553"/>
      <c r="Y46" s="3439"/>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539"/>
      <c r="Q47" s="1558">
        <f t="shared" si="11"/>
        <v>111</v>
      </c>
      <c r="R47" s="1559" t="s">
        <v>8</v>
      </c>
      <c r="S47" s="1560">
        <f t="shared" si="12"/>
        <v>100</v>
      </c>
      <c r="T47" s="1559" t="s">
        <v>8</v>
      </c>
      <c r="U47" s="1560">
        <f t="shared" si="13"/>
        <v>100</v>
      </c>
      <c r="V47" s="1559" t="s">
        <v>8</v>
      </c>
      <c r="W47" s="1560">
        <f t="shared" si="14"/>
        <v>100</v>
      </c>
      <c r="X47" s="1553"/>
      <c r="Y47" s="3539"/>
      <c r="Z47" s="1561">
        <f t="shared" si="15"/>
        <v>111</v>
      </c>
      <c r="AA47" s="1562">
        <f t="shared" si="3"/>
        <v>1</v>
      </c>
      <c r="AB47" s="1562">
        <f t="shared" si="4"/>
        <v>1</v>
      </c>
      <c r="AC47" s="1562">
        <f t="shared" si="5"/>
        <v>1</v>
      </c>
    </row>
    <row r="48" spans="1:29" ht="15">
      <c r="A48" s="606" t="s">
        <v>733</v>
      </c>
      <c r="B48" s="886"/>
      <c r="C48" s="2591" t="s">
        <v>1</v>
      </c>
      <c r="D48" s="2592"/>
      <c r="E48" s="2593"/>
      <c r="F48" s="2594"/>
      <c r="G48" s="2595"/>
      <c r="H48" s="2596"/>
      <c r="I48" s="2593"/>
      <c r="J48" s="2596"/>
      <c r="K48" s="1596"/>
      <c r="L48" s="2129"/>
      <c r="M48" s="2119"/>
      <c r="N48" s="2119"/>
      <c r="O48" s="2119"/>
      <c r="P48" s="3456" t="str">
        <f>A48</f>
        <v>成交单价（元/平方米）</v>
      </c>
      <c r="Q48" s="3434"/>
      <c r="R48" s="3538">
        <f>E48</f>
        <v>0</v>
      </c>
      <c r="S48" s="3538"/>
      <c r="T48" s="3538">
        <f>G48</f>
        <v>0</v>
      </c>
      <c r="U48" s="3538"/>
      <c r="V48" s="3538">
        <f>I48</f>
        <v>0</v>
      </c>
      <c r="W48" s="3538"/>
      <c r="X48" s="1545"/>
      <c r="Y48" s="1567"/>
      <c r="Z48" s="1545"/>
      <c r="AA48" s="1545"/>
      <c r="AB48" s="1545"/>
      <c r="AC48" s="1545"/>
    </row>
    <row r="49" spans="1:29" ht="15.75" thickBot="1">
      <c r="A49" s="614" t="s">
        <v>2757</v>
      </c>
      <c r="B49" s="887"/>
      <c r="C49" s="2597" t="e">
        <f>R50</f>
        <v>#DIV/0!</v>
      </c>
      <c r="D49" s="2598"/>
      <c r="E49" s="2599" t="e">
        <f>R49</f>
        <v>#DIV/0!</v>
      </c>
      <c r="F49" s="2599"/>
      <c r="G49" s="2597" t="e">
        <f>T49</f>
        <v>#DIV/0!</v>
      </c>
      <c r="H49" s="2598"/>
      <c r="I49" s="2599" t="e">
        <f>V49</f>
        <v>#DIV/0!</v>
      </c>
      <c r="J49" s="2598"/>
      <c r="K49" s="1597"/>
      <c r="L49" s="2129"/>
      <c r="M49" s="2119"/>
      <c r="N49" s="2119"/>
      <c r="O49" s="2119"/>
      <c r="P49" s="3456" t="str">
        <f>A49</f>
        <v>比较价格（元/平方米）</v>
      </c>
      <c r="Q49" s="3434"/>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1545"/>
      <c r="Y49" s="1545"/>
      <c r="Z49" s="1545"/>
      <c r="AA49" s="1545"/>
      <c r="AB49" s="1545"/>
      <c r="AC49" s="1545"/>
    </row>
    <row r="50" spans="1:29" ht="15.75" thickBot="1">
      <c r="A50" s="620" t="s">
        <v>2933</v>
      </c>
      <c r="B50" s="621"/>
      <c r="C50" s="2600" t="e">
        <f>R50</f>
        <v>#DIV/0!</v>
      </c>
      <c r="D50" s="2600"/>
      <c r="E50" s="2600"/>
      <c r="F50" s="2600"/>
      <c r="G50" s="2600"/>
      <c r="H50" s="2600"/>
      <c r="I50" s="2600"/>
      <c r="J50" s="2600"/>
      <c r="K50" s="1598"/>
      <c r="L50" s="2129"/>
      <c r="M50" s="2119"/>
      <c r="N50" s="2119"/>
      <c r="O50" s="2119"/>
      <c r="P50" s="3543" t="str">
        <f>A50</f>
        <v>估价对象XX用房的比较价格（楼面单价，元/平方米）</v>
      </c>
      <c r="Q50" s="3456"/>
      <c r="R50" s="3537" t="e">
        <f>IF(F1="售价",ROUND(AVERAGE(R49:V49),0),ROUND(AVERAGE(R49:V49),1))</f>
        <v>#DIV/0!</v>
      </c>
      <c r="S50" s="3537"/>
      <c r="T50" s="3537"/>
      <c r="U50" s="3537"/>
      <c r="V50" s="3537"/>
      <c r="W50" s="353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526</v>
      </c>
      <c r="B59" s="645"/>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528</v>
      </c>
      <c r="B62" s="647"/>
      <c r="C62" s="659" t="s">
        <v>573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574</v>
      </c>
      <c r="B64" s="664" t="s">
        <v>531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536</v>
      </c>
      <c r="B77" s="664" t="s">
        <v>582</v>
      </c>
      <c r="C77" s="702" t="s">
        <v>576</v>
      </c>
      <c r="D77" s="702" t="s">
        <v>577</v>
      </c>
      <c r="E77" s="702" t="s">
        <v>578</v>
      </c>
      <c r="F77" s="702" t="s">
        <v>579</v>
      </c>
      <c r="G77" s="702" t="s">
        <v>580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583</v>
      </c>
      <c r="C79" s="707" t="s">
        <v>576</v>
      </c>
      <c r="D79" s="707" t="s">
        <v>577</v>
      </c>
      <c r="E79" s="707" t="s">
        <v>578</v>
      </c>
      <c r="F79" s="707" t="s">
        <v>579</v>
      </c>
      <c r="G79" s="707" t="s">
        <v>580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2554</v>
      </c>
      <c r="C81" s="707" t="s">
        <v>576</v>
      </c>
      <c r="D81" s="707" t="s">
        <v>577</v>
      </c>
      <c r="E81" s="707" t="s">
        <v>578</v>
      </c>
      <c r="F81" s="707" t="s">
        <v>579</v>
      </c>
      <c r="G81" s="707" t="s">
        <v>580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2555</v>
      </c>
      <c r="C83" s="2562" t="s">
        <v>2556</v>
      </c>
      <c r="D83" s="2562" t="s">
        <v>2557</v>
      </c>
      <c r="E83" s="2562" t="s">
        <v>2558</v>
      </c>
      <c r="F83" s="2562" t="s">
        <v>2559</v>
      </c>
      <c r="G83" s="2562" t="s">
        <v>2560</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781</v>
      </c>
      <c r="C85" s="707" t="s">
        <v>576</v>
      </c>
      <c r="D85" s="707" t="s">
        <v>577</v>
      </c>
      <c r="E85" s="707" t="s">
        <v>578</v>
      </c>
      <c r="F85" s="707" t="s">
        <v>579</v>
      </c>
      <c r="G85" s="707" t="s">
        <v>580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548</v>
      </c>
      <c r="B101" s="664" t="s">
        <v>744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748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2553</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785</v>
      </c>
      <c r="C1" s="503" t="s">
        <v>717</v>
      </c>
      <c r="D1" s="848"/>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516</v>
      </c>
      <c r="B3" s="509" t="e">
        <f>C43</f>
        <v>#DIV/0!</v>
      </c>
      <c r="C3" s="851" t="s">
        <v>719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518</v>
      </c>
      <c r="B4" s="512"/>
      <c r="C4" s="3440" t="s">
        <v>519</v>
      </c>
      <c r="D4" s="3441"/>
      <c r="E4" s="3464" t="s">
        <v>520</v>
      </c>
      <c r="F4" s="3465"/>
      <c r="G4" s="3440" t="s">
        <v>521</v>
      </c>
      <c r="H4" s="3441"/>
      <c r="I4" s="3440" t="s">
        <v>522</v>
      </c>
      <c r="J4" s="3441"/>
      <c r="K4" s="513" t="s">
        <v>523</v>
      </c>
      <c r="L4" s="2118"/>
      <c r="M4" s="2119"/>
      <c r="N4" s="2119"/>
      <c r="O4" s="2119"/>
      <c r="P4" s="3442" t="s">
        <v>524</v>
      </c>
      <c r="Q4" s="3443"/>
      <c r="R4" s="3428" t="s">
        <v>520</v>
      </c>
      <c r="S4" s="3429"/>
      <c r="T4" s="3428" t="s">
        <v>521</v>
      </c>
      <c r="U4" s="3429"/>
      <c r="V4" s="3448" t="s">
        <v>522</v>
      </c>
      <c r="W4" s="3448"/>
      <c r="X4" s="1553"/>
      <c r="Y4" s="3428" t="s">
        <v>524</v>
      </c>
      <c r="Z4" s="3429"/>
      <c r="AA4" s="3423" t="s">
        <v>520</v>
      </c>
      <c r="AB4" s="3424" t="s">
        <v>521</v>
      </c>
      <c r="AC4" s="3423" t="s">
        <v>522</v>
      </c>
    </row>
    <row r="5" spans="1:29" ht="15">
      <c r="A5" s="514"/>
      <c r="B5" s="515"/>
      <c r="C5" s="3451" t="s">
        <v>2927</v>
      </c>
      <c r="D5" s="3452"/>
      <c r="E5" s="3466" t="s">
        <v>2928</v>
      </c>
      <c r="F5" s="3467"/>
      <c r="G5" s="3451" t="s">
        <v>2929</v>
      </c>
      <c r="H5" s="3452"/>
      <c r="I5" s="3451" t="s">
        <v>2930</v>
      </c>
      <c r="J5" s="3452"/>
      <c r="K5" s="513"/>
      <c r="L5" s="2118"/>
      <c r="M5" s="2119"/>
      <c r="N5" s="2119"/>
      <c r="O5" s="2119"/>
      <c r="P5" s="3444"/>
      <c r="Q5" s="3445"/>
      <c r="R5" s="3430"/>
      <c r="S5" s="3431"/>
      <c r="T5" s="3430"/>
      <c r="U5" s="3431"/>
      <c r="V5" s="3448"/>
      <c r="W5" s="3448"/>
      <c r="X5" s="1553"/>
      <c r="Y5" s="3430"/>
      <c r="Z5" s="3431"/>
      <c r="AA5" s="3424"/>
      <c r="AB5" s="3424"/>
      <c r="AC5" s="3424"/>
    </row>
    <row r="6" spans="1:29" ht="15.75" thickBot="1">
      <c r="A6" s="516"/>
      <c r="B6" s="517"/>
      <c r="C6" s="3449" t="s">
        <v>2931</v>
      </c>
      <c r="D6" s="3450"/>
      <c r="E6" s="3468" t="s">
        <v>2931</v>
      </c>
      <c r="F6" s="3469"/>
      <c r="G6" s="3449" t="s">
        <v>2931</v>
      </c>
      <c r="H6" s="3450"/>
      <c r="I6" s="3449" t="s">
        <v>2931</v>
      </c>
      <c r="J6" s="3450"/>
      <c r="K6" s="513" t="s">
        <v>525</v>
      </c>
      <c r="L6" s="2118"/>
      <c r="M6" s="2119"/>
      <c r="N6" s="2119"/>
      <c r="O6" s="2119"/>
      <c r="P6" s="3446"/>
      <c r="Q6" s="3447"/>
      <c r="R6" s="3430"/>
      <c r="S6" s="3431"/>
      <c r="T6" s="3432"/>
      <c r="U6" s="3433"/>
      <c r="V6" s="3448"/>
      <c r="W6" s="3448"/>
      <c r="X6" s="1553"/>
      <c r="Y6" s="3432"/>
      <c r="Z6" s="3433"/>
      <c r="AA6" s="3425"/>
      <c r="AB6" s="3425"/>
      <c r="AC6" s="3425"/>
    </row>
    <row r="7" spans="1:29" s="1215" customFormat="1" ht="15.75" thickBot="1">
      <c r="A7" s="2867"/>
      <c r="B7" s="2874" t="s">
        <v>526</v>
      </c>
      <c r="C7" s="518">
        <f>'数据-取费表'!B2</f>
        <v>43700</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26" t="s">
        <v>527</v>
      </c>
      <c r="Q7" s="3435"/>
      <c r="R7" s="1554" t="s">
        <v>8</v>
      </c>
      <c r="S7" s="1555">
        <f t="shared" ref="S7:S15" si="0">F7</f>
        <v>0</v>
      </c>
      <c r="T7" s="1554" t="s">
        <v>8</v>
      </c>
      <c r="U7" s="1555">
        <f t="shared" ref="U7:U15" si="1">H7</f>
        <v>0</v>
      </c>
      <c r="V7" s="1554" t="s">
        <v>8</v>
      </c>
      <c r="W7" s="1555">
        <f t="shared" ref="W7:W15"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26" t="s">
        <v>530</v>
      </c>
      <c r="Q8" s="3427"/>
      <c r="R8" s="1554" t="s">
        <v>8</v>
      </c>
      <c r="S8" s="1555">
        <f t="shared" si="0"/>
        <v>0</v>
      </c>
      <c r="T8" s="1554" t="s">
        <v>8</v>
      </c>
      <c r="U8" s="1555">
        <f t="shared" si="1"/>
        <v>0</v>
      </c>
      <c r="V8" s="1554" t="s">
        <v>8</v>
      </c>
      <c r="W8" s="1555">
        <f t="shared" si="2"/>
        <v>0</v>
      </c>
      <c r="X8" s="1556"/>
      <c r="Y8" s="3426" t="s">
        <v>530</v>
      </c>
      <c r="Z8" s="3427"/>
      <c r="AA8" s="1557" t="e">
        <f t="shared" ref="AA8:AA40" si="3">D8/F8</f>
        <v>#DIV/0!</v>
      </c>
      <c r="AB8" s="1557" t="e">
        <f t="shared" ref="AB8:AB40" si="4">D8/H8</f>
        <v>#DIV/0!</v>
      </c>
      <c r="AC8" s="1557" t="e">
        <f t="shared" ref="AC8:AC40" si="5">D8/J8</f>
        <v>#DIV/0!</v>
      </c>
    </row>
    <row r="9" spans="1:29" s="1215" customFormat="1" ht="15">
      <c r="A9" s="2869"/>
      <c r="B9" s="2876"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434" t="s">
        <v>532</v>
      </c>
      <c r="Q9" s="1146" t="str">
        <f t="shared" ref="Q9:Q15" si="6">B9</f>
        <v>用途</v>
      </c>
      <c r="R9" s="1554" t="s">
        <v>8</v>
      </c>
      <c r="S9" s="1555">
        <f t="shared" si="0"/>
        <v>100</v>
      </c>
      <c r="T9" s="1554" t="s">
        <v>8</v>
      </c>
      <c r="U9" s="1555">
        <f t="shared" si="1"/>
        <v>100</v>
      </c>
      <c r="V9" s="1554" t="s">
        <v>8</v>
      </c>
      <c r="W9" s="1555">
        <f t="shared" si="2"/>
        <v>100</v>
      </c>
      <c r="X9" s="1556"/>
      <c r="Y9" s="3391"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434"/>
      <c r="Q11" s="1146" t="str">
        <f t="shared" si="6"/>
        <v>容积率</v>
      </c>
      <c r="R11" s="1554" t="s">
        <v>8</v>
      </c>
      <c r="S11" s="1555" t="e">
        <f t="shared" si="0"/>
        <v>#N/A</v>
      </c>
      <c r="T11" s="1554" t="s">
        <v>8</v>
      </c>
      <c r="U11" s="1555" t="e">
        <f t="shared" si="1"/>
        <v>#N/A</v>
      </c>
      <c r="V11" s="1554" t="s">
        <v>8</v>
      </c>
      <c r="W11" s="1555" t="e">
        <f t="shared" si="2"/>
        <v>#N/A</v>
      </c>
      <c r="X11" s="1556"/>
      <c r="Y11" s="339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434"/>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434"/>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434"/>
      <c r="Q14" s="1146">
        <f t="shared" si="6"/>
        <v>111</v>
      </c>
      <c r="R14" s="1554" t="s">
        <v>8</v>
      </c>
      <c r="S14" s="1555">
        <f t="shared" si="0"/>
        <v>100</v>
      </c>
      <c r="T14" s="1554" t="s">
        <v>8</v>
      </c>
      <c r="U14" s="1555">
        <f t="shared" si="1"/>
        <v>100</v>
      </c>
      <c r="V14" s="1554" t="s">
        <v>8</v>
      </c>
      <c r="W14" s="1555">
        <f t="shared" si="2"/>
        <v>100</v>
      </c>
      <c r="X14" s="1556"/>
      <c r="Y14" s="3391"/>
      <c r="Z14" s="1145">
        <f t="shared" si="7"/>
        <v>111</v>
      </c>
      <c r="AA14" s="1557">
        <f t="shared" si="3"/>
        <v>1</v>
      </c>
      <c r="AB14" s="1557">
        <f t="shared" si="4"/>
        <v>1</v>
      </c>
      <c r="AC14" s="1557">
        <f t="shared" si="5"/>
        <v>1</v>
      </c>
    </row>
    <row r="15" spans="1:29" ht="57">
      <c r="A15" s="2865" t="s">
        <v>2751</v>
      </c>
      <c r="B15" s="166" t="s">
        <v>786</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36" t="s">
        <v>537</v>
      </c>
      <c r="Q15" s="1558" t="str">
        <f t="shared" si="6"/>
        <v>产业集聚程度</v>
      </c>
      <c r="R15" s="1559" t="s">
        <v>8</v>
      </c>
      <c r="S15" s="1560">
        <f t="shared" si="0"/>
        <v>100</v>
      </c>
      <c r="T15" s="1559" t="s">
        <v>8</v>
      </c>
      <c r="U15" s="1560">
        <f t="shared" si="1"/>
        <v>100</v>
      </c>
      <c r="V15" s="1559" t="s">
        <v>8</v>
      </c>
      <c r="W15" s="1560">
        <f t="shared" si="2"/>
        <v>100</v>
      </c>
      <c r="X15" s="1553"/>
      <c r="Y15" s="3436" t="s">
        <v>537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37"/>
      <c r="Q16" s="1558"/>
      <c r="R16" s="1559"/>
      <c r="S16" s="1560"/>
      <c r="T16" s="1559"/>
      <c r="U16" s="1560"/>
      <c r="V16" s="1559"/>
      <c r="W16" s="1560"/>
      <c r="X16" s="1553"/>
      <c r="Y16" s="3437"/>
      <c r="Z16" s="1561"/>
      <c r="AA16" s="1562">
        <v>1</v>
      </c>
      <c r="AB16" s="1562">
        <v>1</v>
      </c>
      <c r="AC16" s="1562">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37"/>
      <c r="Q17" s="1558" t="str">
        <f>B17</f>
        <v>交通便捷度</v>
      </c>
      <c r="R17" s="1559" t="s">
        <v>8</v>
      </c>
      <c r="S17" s="1560">
        <f>F17</f>
        <v>100</v>
      </c>
      <c r="T17" s="1559" t="s">
        <v>8</v>
      </c>
      <c r="U17" s="1560">
        <f>H17</f>
        <v>100</v>
      </c>
      <c r="V17" s="1559" t="s">
        <v>8</v>
      </c>
      <c r="W17" s="1560">
        <f>J17</f>
        <v>100</v>
      </c>
      <c r="X17" s="1553"/>
      <c r="Y17" s="343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37"/>
      <c r="Q18" s="1558"/>
      <c r="R18" s="1559"/>
      <c r="S18" s="1560"/>
      <c r="T18" s="1559"/>
      <c r="U18" s="1560"/>
      <c r="V18" s="1559"/>
      <c r="W18" s="1560"/>
      <c r="X18" s="1553"/>
      <c r="Y18" s="3437"/>
      <c r="Z18" s="1561"/>
      <c r="AA18" s="1562">
        <v>1</v>
      </c>
      <c r="AB18" s="1562">
        <v>1</v>
      </c>
      <c r="AC18" s="1562">
        <v>1</v>
      </c>
    </row>
    <row r="19" spans="1:29" ht="42.75">
      <c r="A19" s="531"/>
      <c r="B19" s="2567"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37"/>
      <c r="Q19" s="1558" t="str">
        <f>B19</f>
        <v>公共配套设施</v>
      </c>
      <c r="R19" s="1559" t="s">
        <v>8</v>
      </c>
      <c r="S19" s="1560">
        <f>F19</f>
        <v>100</v>
      </c>
      <c r="T19" s="1559" t="s">
        <v>8</v>
      </c>
      <c r="U19" s="1560">
        <f>H19</f>
        <v>100</v>
      </c>
      <c r="V19" s="1559" t="s">
        <v>8</v>
      </c>
      <c r="W19" s="1560">
        <f>J19</f>
        <v>100</v>
      </c>
      <c r="X19" s="1553"/>
      <c r="Y19" s="343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37"/>
      <c r="Q20" s="1558"/>
      <c r="R20" s="1559"/>
      <c r="S20" s="1560"/>
      <c r="T20" s="1559"/>
      <c r="U20" s="1560"/>
      <c r="V20" s="1559"/>
      <c r="W20" s="1560"/>
      <c r="X20" s="1553"/>
      <c r="Y20" s="3437"/>
      <c r="Z20" s="1561"/>
      <c r="AA20" s="1562">
        <v>1</v>
      </c>
      <c r="AB20" s="1562">
        <v>1</v>
      </c>
      <c r="AC20" s="1562">
        <v>1</v>
      </c>
    </row>
    <row r="21" spans="1:29" ht="28.5">
      <c r="A21" s="531"/>
      <c r="B21" s="2555"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37"/>
      <c r="Q21" s="2543" t="str">
        <f>B21</f>
        <v>基础设施水平</v>
      </c>
      <c r="R21" s="1559" t="s">
        <v>8</v>
      </c>
      <c r="S21" s="1560">
        <f>F21</f>
        <v>100</v>
      </c>
      <c r="T21" s="1559" t="s">
        <v>8</v>
      </c>
      <c r="U21" s="1560">
        <f>H21</f>
        <v>100</v>
      </c>
      <c r="V21" s="1559" t="s">
        <v>8</v>
      </c>
      <c r="W21" s="1560">
        <f>J21</f>
        <v>100</v>
      </c>
      <c r="X21" s="2545"/>
      <c r="Y21" s="3437"/>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37"/>
      <c r="Q22" s="2543"/>
      <c r="R22" s="1559"/>
      <c r="S22" s="1560"/>
      <c r="T22" s="1559"/>
      <c r="U22" s="1560"/>
      <c r="V22" s="1559"/>
      <c r="W22" s="1560"/>
      <c r="X22" s="2545"/>
      <c r="Y22" s="3437"/>
      <c r="Z22" s="2544"/>
      <c r="AA22" s="1562">
        <v>1</v>
      </c>
      <c r="AB22" s="1562">
        <v>1</v>
      </c>
      <c r="AC22" s="1562">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37"/>
      <c r="Q23" s="1558" t="str">
        <f>B23</f>
        <v>环境质量</v>
      </c>
      <c r="R23" s="1559" t="s">
        <v>8</v>
      </c>
      <c r="S23" s="1560">
        <f>F23</f>
        <v>100</v>
      </c>
      <c r="T23" s="1559" t="s">
        <v>8</v>
      </c>
      <c r="U23" s="1560">
        <f>H23</f>
        <v>100</v>
      </c>
      <c r="V23" s="1559" t="s">
        <v>8</v>
      </c>
      <c r="W23" s="1560">
        <f>J23</f>
        <v>100</v>
      </c>
      <c r="X23" s="1553"/>
      <c r="Y23" s="343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37"/>
      <c r="Q24" s="1558"/>
      <c r="R24" s="1559"/>
      <c r="S24" s="1560"/>
      <c r="T24" s="1559"/>
      <c r="U24" s="1560"/>
      <c r="V24" s="1559"/>
      <c r="W24" s="1560"/>
      <c r="X24" s="1553"/>
      <c r="Y24" s="343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37"/>
      <c r="Q25" s="1558">
        <f>B25</f>
        <v>111</v>
      </c>
      <c r="R25" s="1559" t="s">
        <v>8</v>
      </c>
      <c r="S25" s="1560">
        <f>F25</f>
        <v>100</v>
      </c>
      <c r="T25" s="1559" t="s">
        <v>8</v>
      </c>
      <c r="U25" s="1560">
        <f>H25</f>
        <v>100</v>
      </c>
      <c r="V25" s="1559" t="s">
        <v>8</v>
      </c>
      <c r="W25" s="1560">
        <f>J25</f>
        <v>100</v>
      </c>
      <c r="X25" s="1553"/>
      <c r="Y25" s="343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37"/>
      <c r="Q26" s="1558">
        <f t="shared" ref="Q26:Q40" si="11">B26</f>
        <v>111</v>
      </c>
      <c r="R26" s="1559" t="s">
        <v>8</v>
      </c>
      <c r="S26" s="1560">
        <f>F26</f>
        <v>100</v>
      </c>
      <c r="T26" s="1559" t="s">
        <v>8</v>
      </c>
      <c r="U26" s="1560">
        <f>H26</f>
        <v>100</v>
      </c>
      <c r="V26" s="1559" t="s">
        <v>8</v>
      </c>
      <c r="W26" s="1560">
        <f>J26</f>
        <v>100</v>
      </c>
      <c r="X26" s="1553"/>
      <c r="Y26" s="343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37"/>
      <c r="Q27" s="1146">
        <f t="shared" si="11"/>
        <v>111</v>
      </c>
      <c r="R27" s="1554" t="s">
        <v>8</v>
      </c>
      <c r="S27" s="1555">
        <f>F27</f>
        <v>100</v>
      </c>
      <c r="T27" s="1554" t="s">
        <v>8</v>
      </c>
      <c r="U27" s="1555">
        <f>H27</f>
        <v>100</v>
      </c>
      <c r="V27" s="1554" t="s">
        <v>8</v>
      </c>
      <c r="W27" s="1555">
        <f>J27</f>
        <v>100</v>
      </c>
      <c r="X27" s="1556"/>
      <c r="Y27" s="3437"/>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37"/>
      <c r="Q28" s="1558">
        <f t="shared" si="11"/>
        <v>111</v>
      </c>
      <c r="R28" s="1559" t="s">
        <v>8</v>
      </c>
      <c r="S28" s="1560">
        <f t="shared" ref="S28:S40" si="12">F28</f>
        <v>100</v>
      </c>
      <c r="T28" s="1559" t="s">
        <v>8</v>
      </c>
      <c r="U28" s="1560">
        <f t="shared" ref="U28:U40" si="13">H28</f>
        <v>100</v>
      </c>
      <c r="V28" s="1559" t="s">
        <v>8</v>
      </c>
      <c r="W28" s="1560">
        <f t="shared" ref="W28:W40" si="14">J28</f>
        <v>100</v>
      </c>
      <c r="X28" s="1553"/>
      <c r="Y28" s="3437"/>
      <c r="Z28" s="1561">
        <f t="shared" ref="Z28:Z40" si="15">Q28</f>
        <v>111</v>
      </c>
      <c r="AA28" s="1562">
        <f t="shared" si="3"/>
        <v>1</v>
      </c>
      <c r="AB28" s="1562">
        <f t="shared" si="4"/>
        <v>1</v>
      </c>
      <c r="AC28" s="1562">
        <f t="shared" si="5"/>
        <v>1</v>
      </c>
    </row>
    <row r="29" spans="1:29" ht="15">
      <c r="A29" s="2862" t="s">
        <v>2752</v>
      </c>
      <c r="B29" s="172" t="s">
        <v>777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38" t="s">
        <v>547</v>
      </c>
      <c r="Q29" s="1558" t="str">
        <f t="shared" si="11"/>
        <v>建筑类型</v>
      </c>
      <c r="R29" s="1559" t="s">
        <v>8</v>
      </c>
      <c r="S29" s="1560">
        <f t="shared" si="12"/>
        <v>100</v>
      </c>
      <c r="T29" s="1559" t="s">
        <v>8</v>
      </c>
      <c r="U29" s="1560">
        <f t="shared" si="13"/>
        <v>100</v>
      </c>
      <c r="V29" s="1559" t="s">
        <v>8</v>
      </c>
      <c r="W29" s="1560">
        <f t="shared" si="14"/>
        <v>100</v>
      </c>
      <c r="X29" s="1553"/>
      <c r="Y29" s="3439" t="s">
        <v>547</v>
      </c>
      <c r="Z29" s="1561" t="str">
        <f t="shared" si="15"/>
        <v>建筑类型</v>
      </c>
      <c r="AA29" s="1562">
        <f t="shared" si="3"/>
        <v>1</v>
      </c>
      <c r="AB29" s="1562">
        <f t="shared" si="4"/>
        <v>1</v>
      </c>
      <c r="AC29" s="1562">
        <f t="shared" si="5"/>
        <v>1</v>
      </c>
    </row>
    <row r="30" spans="1:29" s="1334" customFormat="1" ht="15">
      <c r="A30" s="602"/>
      <c r="B30" s="526" t="s">
        <v>723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39"/>
      <c r="Q30" s="1590" t="str">
        <f t="shared" si="11"/>
        <v>项目建筑规模</v>
      </c>
      <c r="R30" s="1563" t="s">
        <v>8</v>
      </c>
      <c r="S30" s="1564" t="e">
        <f t="shared" si="12"/>
        <v>#N/A</v>
      </c>
      <c r="T30" s="1563" t="s">
        <v>8</v>
      </c>
      <c r="U30" s="1564" t="e">
        <f t="shared" si="13"/>
        <v>#N/A</v>
      </c>
      <c r="V30" s="1563" t="s">
        <v>8</v>
      </c>
      <c r="W30" s="1564" t="e">
        <f t="shared" si="14"/>
        <v>#N/A</v>
      </c>
      <c r="X30" s="1565"/>
      <c r="Y30" s="3439"/>
      <c r="Z30" s="1566" t="str">
        <f t="shared" si="15"/>
        <v>项目建筑规模</v>
      </c>
      <c r="AA30" s="1562" t="e">
        <f t="shared" si="3"/>
        <v>#N/A</v>
      </c>
      <c r="AB30" s="1562" t="e">
        <f t="shared" si="4"/>
        <v>#N/A</v>
      </c>
      <c r="AC30" s="1562"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39"/>
      <c r="Q31" s="1558" t="str">
        <f t="shared" si="11"/>
        <v>建筑结构</v>
      </c>
      <c r="R31" s="1559" t="s">
        <v>8</v>
      </c>
      <c r="S31" s="1560">
        <f t="shared" si="12"/>
        <v>100</v>
      </c>
      <c r="T31" s="1559" t="s">
        <v>8</v>
      </c>
      <c r="U31" s="1560">
        <f t="shared" si="13"/>
        <v>100</v>
      </c>
      <c r="V31" s="1559" t="s">
        <v>8</v>
      </c>
      <c r="W31" s="1560">
        <f t="shared" si="14"/>
        <v>100</v>
      </c>
      <c r="X31" s="1553"/>
      <c r="Y31" s="3439"/>
      <c r="Z31" s="1561" t="str">
        <f t="shared" si="15"/>
        <v>建筑结构</v>
      </c>
      <c r="AA31" s="1562">
        <f t="shared" si="3"/>
        <v>1</v>
      </c>
      <c r="AB31" s="1562">
        <f t="shared" si="4"/>
        <v>1</v>
      </c>
      <c r="AC31" s="1562">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39"/>
      <c r="Q32" s="1558" t="str">
        <f t="shared" si="11"/>
        <v>公共部分装修</v>
      </c>
      <c r="R32" s="1559" t="s">
        <v>8</v>
      </c>
      <c r="S32" s="1560">
        <f t="shared" si="12"/>
        <v>100</v>
      </c>
      <c r="T32" s="1559" t="s">
        <v>8</v>
      </c>
      <c r="U32" s="1560">
        <f t="shared" si="13"/>
        <v>100</v>
      </c>
      <c r="V32" s="1559" t="s">
        <v>8</v>
      </c>
      <c r="W32" s="1560">
        <f t="shared" si="14"/>
        <v>100</v>
      </c>
      <c r="X32" s="1553"/>
      <c r="Y32" s="3439"/>
      <c r="Z32" s="1561" t="str">
        <f t="shared" si="15"/>
        <v>公共部分装修</v>
      </c>
      <c r="AA32" s="1562">
        <f t="shared" si="3"/>
        <v>1</v>
      </c>
      <c r="AB32" s="1562">
        <f t="shared" si="4"/>
        <v>1</v>
      </c>
      <c r="AC32" s="1562">
        <f t="shared" si="5"/>
        <v>1</v>
      </c>
    </row>
    <row r="33" spans="1:29" ht="15">
      <c r="A33" s="593"/>
      <c r="B33" s="526" t="s">
        <v>761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39"/>
      <c r="Q33" s="1558" t="str">
        <f t="shared" si="11"/>
        <v>成新度</v>
      </c>
      <c r="R33" s="1559" t="s">
        <v>8</v>
      </c>
      <c r="S33" s="1560" t="e">
        <f t="shared" si="12"/>
        <v>#N/A</v>
      </c>
      <c r="T33" s="1559" t="s">
        <v>8</v>
      </c>
      <c r="U33" s="1560" t="e">
        <f t="shared" si="13"/>
        <v>#N/A</v>
      </c>
      <c r="V33" s="1559" t="s">
        <v>8</v>
      </c>
      <c r="W33" s="1560" t="e">
        <f t="shared" si="14"/>
        <v>#N/A</v>
      </c>
      <c r="X33" s="1553"/>
      <c r="Y33" s="3439"/>
      <c r="Z33" s="1561" t="str">
        <f t="shared" si="15"/>
        <v>成新度</v>
      </c>
      <c r="AA33" s="1562" t="e">
        <f t="shared" si="3"/>
        <v>#N/A</v>
      </c>
      <c r="AB33" s="1562" t="e">
        <f t="shared" si="4"/>
        <v>#N/A</v>
      </c>
      <c r="AC33" s="1562" t="e">
        <f t="shared" si="5"/>
        <v>#N/A</v>
      </c>
    </row>
    <row r="34" spans="1:29" s="1215"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39"/>
      <c r="Q34" s="1146" t="str">
        <f t="shared" si="11"/>
        <v>物业管理</v>
      </c>
      <c r="R34" s="1554" t="s">
        <v>8</v>
      </c>
      <c r="S34" s="1555">
        <f t="shared" si="12"/>
        <v>100</v>
      </c>
      <c r="T34" s="1554" t="s">
        <v>8</v>
      </c>
      <c r="U34" s="1555">
        <f t="shared" si="13"/>
        <v>100</v>
      </c>
      <c r="V34" s="1554" t="s">
        <v>8</v>
      </c>
      <c r="W34" s="1555">
        <f t="shared" si="14"/>
        <v>100</v>
      </c>
      <c r="X34" s="1556"/>
      <c r="Y34" s="3439"/>
      <c r="Z34" s="1145" t="str">
        <f t="shared" si="15"/>
        <v>物业管理</v>
      </c>
      <c r="AA34" s="1557">
        <f t="shared" si="3"/>
        <v>1</v>
      </c>
      <c r="AB34" s="1557">
        <f t="shared" si="4"/>
        <v>1</v>
      </c>
      <c r="AC34" s="1557">
        <f t="shared" si="5"/>
        <v>1</v>
      </c>
    </row>
    <row r="35" spans="1:29" ht="15">
      <c r="A35" s="593"/>
      <c r="B35" s="1880"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39" t="s">
        <v>547</v>
      </c>
      <c r="Q35" s="1558" t="str">
        <f t="shared" si="11"/>
        <v>市政基础设施</v>
      </c>
      <c r="R35" s="1559" t="s">
        <v>8</v>
      </c>
      <c r="S35" s="1560">
        <f t="shared" si="12"/>
        <v>100</v>
      </c>
      <c r="T35" s="1559" t="s">
        <v>8</v>
      </c>
      <c r="U35" s="1560">
        <f t="shared" si="13"/>
        <v>100</v>
      </c>
      <c r="V35" s="1559" t="s">
        <v>8</v>
      </c>
      <c r="W35" s="1560">
        <f t="shared" si="14"/>
        <v>100</v>
      </c>
      <c r="X35" s="1553"/>
      <c r="Y35" s="3439" t="s">
        <v>547</v>
      </c>
      <c r="Z35" s="1561" t="str">
        <f t="shared" si="15"/>
        <v>市政基础设施</v>
      </c>
      <c r="AA35" s="1562">
        <f t="shared" si="3"/>
        <v>1</v>
      </c>
      <c r="AB35" s="1562">
        <f t="shared" si="4"/>
        <v>1</v>
      </c>
      <c r="AC35" s="1562">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39"/>
      <c r="Q36" s="1558" t="str">
        <f t="shared" si="11"/>
        <v>内部装修</v>
      </c>
      <c r="R36" s="1559" t="s">
        <v>8</v>
      </c>
      <c r="S36" s="1560">
        <f t="shared" si="12"/>
        <v>100</v>
      </c>
      <c r="T36" s="1559" t="s">
        <v>8</v>
      </c>
      <c r="U36" s="1560">
        <f t="shared" si="13"/>
        <v>100</v>
      </c>
      <c r="V36" s="1559" t="s">
        <v>8</v>
      </c>
      <c r="W36" s="1560">
        <f t="shared" si="14"/>
        <v>100</v>
      </c>
      <c r="X36" s="1553"/>
      <c r="Y36" s="3439"/>
      <c r="Z36" s="1561" t="str">
        <f t="shared" si="15"/>
        <v>内部装修</v>
      </c>
      <c r="AA36" s="1562">
        <f t="shared" si="3"/>
        <v>1</v>
      </c>
      <c r="AB36" s="1562">
        <f t="shared" si="4"/>
        <v>1</v>
      </c>
      <c r="AC36" s="1562">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39"/>
      <c r="Q37" s="1558" t="str">
        <f t="shared" si="11"/>
        <v>内部装修状况</v>
      </c>
      <c r="R37" s="1559" t="s">
        <v>8</v>
      </c>
      <c r="S37" s="1560">
        <f t="shared" si="12"/>
        <v>100</v>
      </c>
      <c r="T37" s="1559" t="s">
        <v>8</v>
      </c>
      <c r="U37" s="1560">
        <f t="shared" si="13"/>
        <v>100</v>
      </c>
      <c r="V37" s="1559" t="s">
        <v>8</v>
      </c>
      <c r="W37" s="1560">
        <f t="shared" si="14"/>
        <v>100</v>
      </c>
      <c r="X37" s="1553"/>
      <c r="Y37" s="343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39"/>
      <c r="Q38" s="1590">
        <f t="shared" si="11"/>
        <v>111</v>
      </c>
      <c r="R38" s="1563" t="s">
        <v>8</v>
      </c>
      <c r="S38" s="1564">
        <f t="shared" si="12"/>
        <v>100</v>
      </c>
      <c r="T38" s="1563" t="s">
        <v>8</v>
      </c>
      <c r="U38" s="1564">
        <f t="shared" si="13"/>
        <v>100</v>
      </c>
      <c r="V38" s="1563" t="s">
        <v>8</v>
      </c>
      <c r="W38" s="1564">
        <f t="shared" si="14"/>
        <v>100</v>
      </c>
      <c r="X38" s="1565"/>
      <c r="Y38" s="343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39"/>
      <c r="Q39" s="1558">
        <f t="shared" si="11"/>
        <v>111</v>
      </c>
      <c r="R39" s="1559" t="s">
        <v>8</v>
      </c>
      <c r="S39" s="1560">
        <f t="shared" si="12"/>
        <v>100</v>
      </c>
      <c r="T39" s="1559" t="s">
        <v>8</v>
      </c>
      <c r="U39" s="1560">
        <f t="shared" si="13"/>
        <v>100</v>
      </c>
      <c r="V39" s="1559" t="s">
        <v>8</v>
      </c>
      <c r="W39" s="1560">
        <f t="shared" si="14"/>
        <v>100</v>
      </c>
      <c r="X39" s="1553"/>
      <c r="Y39" s="3439"/>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539"/>
      <c r="Q40" s="1558">
        <f t="shared" si="11"/>
        <v>111</v>
      </c>
      <c r="R40" s="1559" t="s">
        <v>8</v>
      </c>
      <c r="S40" s="1560">
        <f t="shared" si="12"/>
        <v>100</v>
      </c>
      <c r="T40" s="1559" t="s">
        <v>8</v>
      </c>
      <c r="U40" s="1560">
        <f t="shared" si="13"/>
        <v>100</v>
      </c>
      <c r="V40" s="1559" t="s">
        <v>8</v>
      </c>
      <c r="W40" s="1560">
        <f t="shared" si="14"/>
        <v>100</v>
      </c>
      <c r="X40" s="1553"/>
      <c r="Y40" s="3539"/>
      <c r="Z40" s="1561">
        <f t="shared" si="15"/>
        <v>111</v>
      </c>
      <c r="AA40" s="1562">
        <f t="shared" si="3"/>
        <v>1</v>
      </c>
      <c r="AB40" s="1562">
        <f t="shared" si="4"/>
        <v>1</v>
      </c>
      <c r="AC40" s="1562">
        <f t="shared" si="5"/>
        <v>1</v>
      </c>
    </row>
    <row r="41" spans="1:29" ht="15">
      <c r="A41" s="606" t="s">
        <v>733</v>
      </c>
      <c r="B41" s="886"/>
      <c r="C41" s="2591" t="s">
        <v>1</v>
      </c>
      <c r="D41" s="2592"/>
      <c r="E41" s="2593"/>
      <c r="F41" s="2594"/>
      <c r="G41" s="2595"/>
      <c r="H41" s="2596"/>
      <c r="I41" s="2593"/>
      <c r="J41" s="2596"/>
      <c r="K41" s="1596"/>
      <c r="L41" s="2129"/>
      <c r="M41" s="2130"/>
      <c r="N41" s="2119"/>
      <c r="O41" s="2130"/>
      <c r="P41" s="3434" t="str">
        <f>A41</f>
        <v>成交单价（元/平方米）</v>
      </c>
      <c r="Q41" s="3434"/>
      <c r="R41" s="3538">
        <f>E41</f>
        <v>0</v>
      </c>
      <c r="S41" s="3538"/>
      <c r="T41" s="3538">
        <f>G41</f>
        <v>0</v>
      </c>
      <c r="U41" s="3538"/>
      <c r="V41" s="3538">
        <f>I41</f>
        <v>0</v>
      </c>
      <c r="W41" s="3538"/>
      <c r="X41" s="1545"/>
      <c r="Y41" s="1567"/>
      <c r="Z41" s="1545"/>
      <c r="AA41" s="1545"/>
      <c r="AB41" s="1545"/>
      <c r="AC41" s="1545"/>
    </row>
    <row r="42" spans="1:29" ht="15.75" thickBot="1">
      <c r="A42" s="614" t="s">
        <v>2757</v>
      </c>
      <c r="B42" s="887"/>
      <c r="C42" s="2597" t="e">
        <f>R43</f>
        <v>#DIV/0!</v>
      </c>
      <c r="D42" s="2598"/>
      <c r="E42" s="2599" t="e">
        <f>R42</f>
        <v>#DIV/0!</v>
      </c>
      <c r="F42" s="2599"/>
      <c r="G42" s="2597" t="e">
        <f>T42</f>
        <v>#DIV/0!</v>
      </c>
      <c r="H42" s="2598"/>
      <c r="I42" s="2599" t="e">
        <f>V42</f>
        <v>#DIV/0!</v>
      </c>
      <c r="J42" s="2598"/>
      <c r="K42" s="1597"/>
      <c r="L42" s="2129"/>
      <c r="M42" s="2130"/>
      <c r="N42" s="2119"/>
      <c r="O42" s="2130"/>
      <c r="P42" s="3434" t="str">
        <f>A42</f>
        <v>比较价格（元/平方米）</v>
      </c>
      <c r="Q42" s="3434"/>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45"/>
      <c r="Y42" s="1545"/>
      <c r="Z42" s="1545"/>
      <c r="AA42" s="1545"/>
      <c r="AB42" s="1545"/>
      <c r="AC42" s="1545"/>
    </row>
    <row r="43" spans="1:29" ht="15.75" thickBot="1">
      <c r="A43" s="620" t="s">
        <v>2933</v>
      </c>
      <c r="B43" s="621"/>
      <c r="C43" s="2600" t="e">
        <f>R43</f>
        <v>#DIV/0!</v>
      </c>
      <c r="D43" s="2600"/>
      <c r="E43" s="2600"/>
      <c r="F43" s="2600"/>
      <c r="G43" s="2600"/>
      <c r="H43" s="2600"/>
      <c r="I43" s="2600"/>
      <c r="J43" s="2600"/>
      <c r="K43" s="1598"/>
      <c r="L43" s="2129"/>
      <c r="M43" s="2130"/>
      <c r="N43" s="2130"/>
      <c r="O43" s="2130"/>
      <c r="P43" s="3455" t="str">
        <f>A43</f>
        <v>估价对象XX用房的比较价格（楼面单价，元/平方米）</v>
      </c>
      <c r="Q43" s="3456"/>
      <c r="R43" s="3537" t="e">
        <f>IF(F1="售价",ROUND(AVERAGE(R42:V42),0),ROUND(AVERAGE(R42:V42),1))</f>
        <v>#DIV/0!</v>
      </c>
      <c r="S43" s="3537"/>
      <c r="T43" s="3537"/>
      <c r="U43" s="3537"/>
      <c r="V43" s="3537"/>
      <c r="W43" s="353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526</v>
      </c>
      <c r="B52" s="645"/>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528</v>
      </c>
      <c r="B55" s="647"/>
      <c r="C55" s="659" t="s">
        <v>573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574</v>
      </c>
      <c r="B57" s="664" t="s">
        <v>531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536</v>
      </c>
      <c r="B70" s="664" t="s">
        <v>582</v>
      </c>
      <c r="C70" s="702" t="s">
        <v>576</v>
      </c>
      <c r="D70" s="702" t="s">
        <v>577</v>
      </c>
      <c r="E70" s="702" t="s">
        <v>578</v>
      </c>
      <c r="F70" s="702" t="s">
        <v>579</v>
      </c>
      <c r="G70" s="702" t="s">
        <v>580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583</v>
      </c>
      <c r="C72" s="707" t="s">
        <v>576</v>
      </c>
      <c r="D72" s="707" t="s">
        <v>577</v>
      </c>
      <c r="E72" s="707" t="s">
        <v>578</v>
      </c>
      <c r="F72" s="707" t="s">
        <v>579</v>
      </c>
      <c r="G72" s="707" t="s">
        <v>580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2554</v>
      </c>
      <c r="C74" s="707" t="s">
        <v>576</v>
      </c>
      <c r="D74" s="707" t="s">
        <v>577</v>
      </c>
      <c r="E74" s="707" t="s">
        <v>578</v>
      </c>
      <c r="F74" s="707" t="s">
        <v>579</v>
      </c>
      <c r="G74" s="707" t="s">
        <v>580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2555</v>
      </c>
      <c r="C76" s="2562" t="s">
        <v>2556</v>
      </c>
      <c r="D76" s="2562" t="s">
        <v>2557</v>
      </c>
      <c r="E76" s="2562" t="s">
        <v>2558</v>
      </c>
      <c r="F76" s="2562" t="s">
        <v>2559</v>
      </c>
      <c r="G76" s="2562" t="s">
        <v>2560</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781</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548</v>
      </c>
      <c r="B88" s="664" t="s">
        <v>744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748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2553</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788</v>
      </c>
      <c r="C106" s="707" t="s">
        <v>576</v>
      </c>
      <c r="D106" s="707" t="s">
        <v>577</v>
      </c>
      <c r="E106" s="707" t="s">
        <v>578</v>
      </c>
      <c r="F106" s="707" t="s">
        <v>579</v>
      </c>
      <c r="G106" s="707" t="s">
        <v>580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IF(B37="元/平方米",C39,ROUND(B2*10000/D3,0))</f>
        <v>#DIV/0!</v>
      </c>
      <c r="C3" s="851" t="s">
        <v>793</v>
      </c>
      <c r="D3" s="850">
        <f>SUMIF('数据-汇总表'!$C19:$C33,D1,'数据-汇总表'!$E19:$E33)</f>
        <v>0</v>
      </c>
      <c r="E3" s="1833" t="s">
        <v>2073</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40" t="s">
        <v>795</v>
      </c>
      <c r="D4" s="3441"/>
      <c r="E4" s="3440" t="s">
        <v>796</v>
      </c>
      <c r="F4" s="3441"/>
      <c r="G4" s="3440" t="s">
        <v>797</v>
      </c>
      <c r="H4" s="3441"/>
      <c r="I4" s="3440" t="s">
        <v>798</v>
      </c>
      <c r="J4" s="3441"/>
      <c r="K4" s="513" t="s">
        <v>799</v>
      </c>
      <c r="L4" s="2118"/>
      <c r="M4" s="2119"/>
      <c r="N4" s="2119"/>
      <c r="O4" s="2119"/>
      <c r="P4" s="3442" t="s">
        <v>800</v>
      </c>
      <c r="Q4" s="3443"/>
      <c r="R4" s="3428" t="s">
        <v>796</v>
      </c>
      <c r="S4" s="3429"/>
      <c r="T4" s="3428" t="s">
        <v>797</v>
      </c>
      <c r="U4" s="3429"/>
      <c r="V4" s="3448" t="s">
        <v>798</v>
      </c>
      <c r="W4" s="3448"/>
      <c r="X4" s="1553"/>
      <c r="Y4" s="3428" t="s">
        <v>800</v>
      </c>
      <c r="Z4" s="3429"/>
      <c r="AA4" s="3423" t="s">
        <v>796</v>
      </c>
      <c r="AB4" s="3424" t="s">
        <v>797</v>
      </c>
      <c r="AC4" s="3423" t="s">
        <v>798</v>
      </c>
    </row>
    <row r="5" spans="1:29" ht="15">
      <c r="A5" s="514"/>
      <c r="B5" s="515"/>
      <c r="C5" s="3451" t="s">
        <v>2927</v>
      </c>
      <c r="D5" s="3452"/>
      <c r="E5" s="3451" t="s">
        <v>2928</v>
      </c>
      <c r="F5" s="3452"/>
      <c r="G5" s="3451" t="s">
        <v>2929</v>
      </c>
      <c r="H5" s="3452"/>
      <c r="I5" s="3451" t="s">
        <v>2930</v>
      </c>
      <c r="J5" s="3452"/>
      <c r="K5" s="513"/>
      <c r="L5" s="2118"/>
      <c r="M5" s="2119"/>
      <c r="N5" s="2119"/>
      <c r="O5" s="2119"/>
      <c r="P5" s="3444"/>
      <c r="Q5" s="3445"/>
      <c r="R5" s="3430"/>
      <c r="S5" s="3431"/>
      <c r="T5" s="3430"/>
      <c r="U5" s="3431"/>
      <c r="V5" s="3448"/>
      <c r="W5" s="3448"/>
      <c r="X5" s="1553"/>
      <c r="Y5" s="3430"/>
      <c r="Z5" s="3431"/>
      <c r="AA5" s="3424"/>
      <c r="AB5" s="3424"/>
      <c r="AC5" s="3424"/>
    </row>
    <row r="6" spans="1:29" ht="15.75" thickBot="1">
      <c r="A6" s="516"/>
      <c r="B6" s="517"/>
      <c r="C6" s="3449" t="s">
        <v>2931</v>
      </c>
      <c r="D6" s="3450"/>
      <c r="E6" s="3453" t="s">
        <v>2931</v>
      </c>
      <c r="F6" s="3454"/>
      <c r="G6" s="3449" t="s">
        <v>2931</v>
      </c>
      <c r="H6" s="3450"/>
      <c r="I6" s="3449" t="s">
        <v>2931</v>
      </c>
      <c r="J6" s="3450"/>
      <c r="K6" s="513" t="s">
        <v>525</v>
      </c>
      <c r="L6" s="2118"/>
      <c r="M6" s="2119"/>
      <c r="N6" s="2119"/>
      <c r="O6" s="2119"/>
      <c r="P6" s="3446"/>
      <c r="Q6" s="3447"/>
      <c r="R6" s="3430"/>
      <c r="S6" s="3431"/>
      <c r="T6" s="3432"/>
      <c r="U6" s="3433"/>
      <c r="V6" s="3448"/>
      <c r="W6" s="3448"/>
      <c r="X6" s="1553"/>
      <c r="Y6" s="3432"/>
      <c r="Z6" s="3433"/>
      <c r="AA6" s="3425"/>
      <c r="AB6" s="3425"/>
      <c r="AC6" s="3425"/>
    </row>
    <row r="7" spans="1:29" s="1215" customFormat="1" ht="15.75" thickBot="1">
      <c r="A7" s="2867"/>
      <c r="B7" s="2874" t="s">
        <v>526</v>
      </c>
      <c r="C7" s="518">
        <f>'数据-取费表'!B2</f>
        <v>43700</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26" t="s">
        <v>527</v>
      </c>
      <c r="Q7" s="3435"/>
      <c r="R7" s="1554" t="s">
        <v>8</v>
      </c>
      <c r="S7" s="1555">
        <f t="shared" ref="S7:S14" si="0">F7</f>
        <v>0</v>
      </c>
      <c r="T7" s="1554" t="s">
        <v>8</v>
      </c>
      <c r="U7" s="1555">
        <f t="shared" ref="U7:U14" si="1">H7</f>
        <v>0</v>
      </c>
      <c r="V7" s="1554" t="s">
        <v>8</v>
      </c>
      <c r="W7" s="1555">
        <f t="shared" ref="W7:W14"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26" t="s">
        <v>530</v>
      </c>
      <c r="Q8" s="3427"/>
      <c r="R8" s="1554" t="s">
        <v>8</v>
      </c>
      <c r="S8" s="1555">
        <f t="shared" si="0"/>
        <v>0</v>
      </c>
      <c r="T8" s="1554" t="s">
        <v>8</v>
      </c>
      <c r="U8" s="1555">
        <f t="shared" si="1"/>
        <v>0</v>
      </c>
      <c r="V8" s="1554" t="s">
        <v>8</v>
      </c>
      <c r="W8" s="1555">
        <f t="shared" si="2"/>
        <v>0</v>
      </c>
      <c r="X8" s="1556"/>
      <c r="Y8" s="3426" t="s">
        <v>530</v>
      </c>
      <c r="Z8" s="3427"/>
      <c r="AA8" s="1557" t="e">
        <f t="shared" ref="AA8:AA36" si="3">D8/F8</f>
        <v>#DIV/0!</v>
      </c>
      <c r="AB8" s="1557" t="e">
        <f t="shared" ref="AB8:AB36" si="4">D8/H8</f>
        <v>#DIV/0!</v>
      </c>
      <c r="AC8" s="1557" t="e">
        <f t="shared" ref="AC8:AC36" si="5">D8/J8</f>
        <v>#DIV/0!</v>
      </c>
    </row>
    <row r="9" spans="1:29" s="1215" customFormat="1" ht="15">
      <c r="A9" s="2869"/>
      <c r="B9" s="2876"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434" t="s">
        <v>532</v>
      </c>
      <c r="Q9" s="1146" t="str">
        <f t="shared" ref="Q9:Q14" si="6">B9</f>
        <v>用途</v>
      </c>
      <c r="R9" s="1554" t="s">
        <v>8</v>
      </c>
      <c r="S9" s="1555">
        <f t="shared" si="0"/>
        <v>100</v>
      </c>
      <c r="T9" s="1554" t="s">
        <v>8</v>
      </c>
      <c r="U9" s="1555">
        <f t="shared" si="1"/>
        <v>100</v>
      </c>
      <c r="V9" s="1554" t="s">
        <v>8</v>
      </c>
      <c r="W9" s="1555">
        <f t="shared" si="2"/>
        <v>100</v>
      </c>
      <c r="X9" s="1556"/>
      <c r="Y9" s="3391"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434"/>
      <c r="Q11" s="1146">
        <f t="shared" si="6"/>
        <v>111</v>
      </c>
      <c r="R11" s="1554" t="s">
        <v>8</v>
      </c>
      <c r="S11" s="1555">
        <f t="shared" si="0"/>
        <v>100</v>
      </c>
      <c r="T11" s="1554" t="s">
        <v>8</v>
      </c>
      <c r="U11" s="1555">
        <f t="shared" si="1"/>
        <v>100</v>
      </c>
      <c r="V11" s="1554" t="s">
        <v>8</v>
      </c>
      <c r="W11" s="1555">
        <f t="shared" si="2"/>
        <v>100</v>
      </c>
      <c r="X11" s="1556"/>
      <c r="Y11" s="3391"/>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434"/>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434"/>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85.5">
      <c r="A14" s="2865" t="s">
        <v>2751</v>
      </c>
      <c r="B14" s="546" t="s">
        <v>540</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36" t="s">
        <v>537</v>
      </c>
      <c r="Q14" s="1558" t="str">
        <f t="shared" si="6"/>
        <v>交通便捷度</v>
      </c>
      <c r="R14" s="1559" t="s">
        <v>8</v>
      </c>
      <c r="S14" s="1560">
        <f t="shared" si="0"/>
        <v>100</v>
      </c>
      <c r="T14" s="1559" t="s">
        <v>8</v>
      </c>
      <c r="U14" s="1560">
        <f t="shared" si="1"/>
        <v>100</v>
      </c>
      <c r="V14" s="1559" t="s">
        <v>8</v>
      </c>
      <c r="W14" s="1560">
        <f t="shared" si="2"/>
        <v>100</v>
      </c>
      <c r="X14" s="1553"/>
      <c r="Y14" s="3436" t="s">
        <v>537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37"/>
      <c r="Q15" s="1558"/>
      <c r="R15" s="1559"/>
      <c r="S15" s="1560"/>
      <c r="T15" s="1559"/>
      <c r="U15" s="1560"/>
      <c r="V15" s="1559"/>
      <c r="W15" s="1560"/>
      <c r="X15" s="1553"/>
      <c r="Y15" s="3437"/>
      <c r="Z15" s="1561"/>
      <c r="AA15" s="1562">
        <v>1</v>
      </c>
      <c r="AB15" s="1562">
        <v>1</v>
      </c>
      <c r="AC15" s="1562">
        <v>1</v>
      </c>
    </row>
    <row r="16" spans="1:29" ht="42.75">
      <c r="A16" s="514"/>
      <c r="B16" s="2567"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37"/>
      <c r="Q16" s="1558" t="str">
        <f>B16</f>
        <v>公共配套设施</v>
      </c>
      <c r="R16" s="1559" t="s">
        <v>8</v>
      </c>
      <c r="S16" s="1560">
        <f>F16</f>
        <v>100</v>
      </c>
      <c r="T16" s="1559" t="s">
        <v>8</v>
      </c>
      <c r="U16" s="1560">
        <f>H16</f>
        <v>100</v>
      </c>
      <c r="V16" s="1559" t="s">
        <v>8</v>
      </c>
      <c r="W16" s="1560">
        <f>J16</f>
        <v>100</v>
      </c>
      <c r="X16" s="1553"/>
      <c r="Y16" s="343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37"/>
      <c r="Q17" s="1558"/>
      <c r="R17" s="1559"/>
      <c r="S17" s="1560"/>
      <c r="T17" s="1559"/>
      <c r="U17" s="1560"/>
      <c r="V17" s="1559"/>
      <c r="W17" s="1560"/>
      <c r="X17" s="1553"/>
      <c r="Y17" s="3437"/>
      <c r="Z17" s="1561"/>
      <c r="AA17" s="1562">
        <v>1</v>
      </c>
      <c r="AB17" s="1562">
        <v>1</v>
      </c>
      <c r="AC17" s="1562">
        <v>1</v>
      </c>
    </row>
    <row r="18" spans="1:29" ht="28.5">
      <c r="A18" s="514"/>
      <c r="B18" s="2555"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37"/>
      <c r="Q18" s="2543" t="str">
        <f>B18</f>
        <v>基础设施水平</v>
      </c>
      <c r="R18" s="1559" t="s">
        <v>8</v>
      </c>
      <c r="S18" s="1560">
        <f>F18</f>
        <v>100</v>
      </c>
      <c r="T18" s="1559" t="s">
        <v>8</v>
      </c>
      <c r="U18" s="1560">
        <f>H18</f>
        <v>100</v>
      </c>
      <c r="V18" s="1559" t="s">
        <v>8</v>
      </c>
      <c r="W18" s="1560">
        <f>J18</f>
        <v>100</v>
      </c>
      <c r="X18" s="2545"/>
      <c r="Y18" s="3437"/>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37"/>
      <c r="Q19" s="2543"/>
      <c r="R19" s="1559"/>
      <c r="S19" s="1560"/>
      <c r="T19" s="1559"/>
      <c r="U19" s="1560"/>
      <c r="V19" s="1559"/>
      <c r="W19" s="1560"/>
      <c r="X19" s="2545"/>
      <c r="Y19" s="3437"/>
      <c r="Z19" s="2544"/>
      <c r="AA19" s="1562">
        <v>1</v>
      </c>
      <c r="AB19" s="1562">
        <v>1</v>
      </c>
      <c r="AC19" s="1562">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37"/>
      <c r="Q20" s="1558" t="str">
        <f>B20</f>
        <v>自然及人文环境</v>
      </c>
      <c r="R20" s="1559" t="s">
        <v>8</v>
      </c>
      <c r="S20" s="1560">
        <f>F20</f>
        <v>100</v>
      </c>
      <c r="T20" s="1559" t="s">
        <v>8</v>
      </c>
      <c r="U20" s="1560">
        <f>H20</f>
        <v>100</v>
      </c>
      <c r="V20" s="1559" t="s">
        <v>8</v>
      </c>
      <c r="W20" s="1560">
        <f>J20</f>
        <v>100</v>
      </c>
      <c r="X20" s="1553"/>
      <c r="Y20" s="343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37"/>
      <c r="Q21" s="1558"/>
      <c r="R21" s="1559"/>
      <c r="S21" s="1560"/>
      <c r="T21" s="1559"/>
      <c r="U21" s="1560"/>
      <c r="V21" s="1559"/>
      <c r="W21" s="1560"/>
      <c r="X21" s="1553"/>
      <c r="Y21" s="3437"/>
      <c r="Z21" s="1561"/>
      <c r="AA21" s="1562">
        <v>1</v>
      </c>
      <c r="AB21" s="1562">
        <v>1</v>
      </c>
      <c r="AC21" s="1562">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37"/>
      <c r="Q22" s="1558" t="str">
        <f>B22</f>
        <v>楼层</v>
      </c>
      <c r="R22" s="1559" t="s">
        <v>8</v>
      </c>
      <c r="S22" s="1560">
        <f>F22</f>
        <v>100</v>
      </c>
      <c r="T22" s="1559" t="s">
        <v>8</v>
      </c>
      <c r="U22" s="1560">
        <f>H22</f>
        <v>100</v>
      </c>
      <c r="V22" s="1559" t="s">
        <v>8</v>
      </c>
      <c r="W22" s="1560">
        <f>J22</f>
        <v>100</v>
      </c>
      <c r="X22" s="1553"/>
      <c r="Y22" s="343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37"/>
      <c r="Q23" s="1558">
        <f>B23</f>
        <v>111</v>
      </c>
      <c r="R23" s="1559" t="s">
        <v>8</v>
      </c>
      <c r="S23" s="1560">
        <f>F23</f>
        <v>100</v>
      </c>
      <c r="T23" s="1559" t="s">
        <v>8</v>
      </c>
      <c r="U23" s="1560">
        <f>H23</f>
        <v>100</v>
      </c>
      <c r="V23" s="1559" t="s">
        <v>8</v>
      </c>
      <c r="W23" s="1560">
        <f>J23</f>
        <v>100</v>
      </c>
      <c r="X23" s="1553"/>
      <c r="Y23" s="343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37"/>
      <c r="Q24" s="1558">
        <f t="shared" ref="Q24:Q36" si="11">B24</f>
        <v>111</v>
      </c>
      <c r="R24" s="1559" t="s">
        <v>8</v>
      </c>
      <c r="S24" s="1560">
        <f>F24</f>
        <v>100</v>
      </c>
      <c r="T24" s="1559" t="s">
        <v>8</v>
      </c>
      <c r="U24" s="1560">
        <f>H24</f>
        <v>100</v>
      </c>
      <c r="V24" s="1559" t="s">
        <v>8</v>
      </c>
      <c r="W24" s="1560">
        <f>J24</f>
        <v>100</v>
      </c>
      <c r="X24" s="1553"/>
      <c r="Y24" s="3437"/>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37"/>
      <c r="Q25" s="1146">
        <f t="shared" si="11"/>
        <v>111</v>
      </c>
      <c r="R25" s="1554" t="s">
        <v>8</v>
      </c>
      <c r="S25" s="1555">
        <f>F25</f>
        <v>100</v>
      </c>
      <c r="T25" s="1554" t="s">
        <v>8</v>
      </c>
      <c r="U25" s="1555">
        <f>H25</f>
        <v>100</v>
      </c>
      <c r="V25" s="1554" t="s">
        <v>8</v>
      </c>
      <c r="W25" s="1555">
        <f>J25</f>
        <v>100</v>
      </c>
      <c r="X25" s="1556"/>
      <c r="Y25" s="3437"/>
      <c r="Z25" s="1145">
        <f>Q25</f>
        <v>111</v>
      </c>
      <c r="AA25" s="1562">
        <f>D25/F25</f>
        <v>1</v>
      </c>
      <c r="AB25" s="1562">
        <f>D25/H25</f>
        <v>1</v>
      </c>
      <c r="AC25" s="1562">
        <f>D25/J25</f>
        <v>1</v>
      </c>
    </row>
    <row r="26" spans="1:29" ht="15">
      <c r="A26" s="2862" t="s">
        <v>2752</v>
      </c>
      <c r="B26" s="170" t="s">
        <v>803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38" t="s">
        <v>547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39" t="s">
        <v>547</v>
      </c>
      <c r="Z26" s="1561" t="str">
        <f t="shared" ref="Z26:Z36" si="15">Q26</f>
        <v>配套类型</v>
      </c>
      <c r="AA26" s="1562">
        <f t="shared" si="3"/>
        <v>1</v>
      </c>
      <c r="AB26" s="1562">
        <f t="shared" si="4"/>
        <v>1</v>
      </c>
      <c r="AC26" s="1562">
        <f t="shared" si="5"/>
        <v>1</v>
      </c>
    </row>
    <row r="27" spans="1:29" s="1334" customFormat="1" ht="15">
      <c r="A27" s="928"/>
      <c r="B27" s="581" t="s">
        <v>804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39"/>
      <c r="Q27" s="1590" t="str">
        <f t="shared" si="11"/>
        <v>项目停车位配比</v>
      </c>
      <c r="R27" s="1563" t="s">
        <v>8</v>
      </c>
      <c r="S27" s="1564">
        <f t="shared" si="12"/>
        <v>100</v>
      </c>
      <c r="T27" s="1563" t="s">
        <v>8</v>
      </c>
      <c r="U27" s="1564">
        <f t="shared" si="13"/>
        <v>100</v>
      </c>
      <c r="V27" s="1563" t="s">
        <v>8</v>
      </c>
      <c r="W27" s="1564">
        <f t="shared" si="14"/>
        <v>100</v>
      </c>
      <c r="X27" s="1565"/>
      <c r="Y27" s="3439"/>
      <c r="Z27" s="1566" t="str">
        <f t="shared" si="15"/>
        <v>项目停车位配比</v>
      </c>
      <c r="AA27" s="1562">
        <f t="shared" si="3"/>
        <v>1</v>
      </c>
      <c r="AB27" s="1562">
        <f t="shared" si="4"/>
        <v>1</v>
      </c>
      <c r="AC27" s="1562">
        <f t="shared" si="5"/>
        <v>1</v>
      </c>
    </row>
    <row r="28" spans="1:29" ht="15">
      <c r="A28" s="930"/>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39"/>
      <c r="Q28" s="1558" t="str">
        <f t="shared" si="11"/>
        <v>公共部分装修</v>
      </c>
      <c r="R28" s="1559" t="s">
        <v>8</v>
      </c>
      <c r="S28" s="1560">
        <f t="shared" si="12"/>
        <v>100</v>
      </c>
      <c r="T28" s="1559" t="s">
        <v>8</v>
      </c>
      <c r="U28" s="1560">
        <f t="shared" si="13"/>
        <v>100</v>
      </c>
      <c r="V28" s="1559" t="s">
        <v>8</v>
      </c>
      <c r="W28" s="1560">
        <f t="shared" si="14"/>
        <v>100</v>
      </c>
      <c r="X28" s="1553"/>
      <c r="Y28" s="3439"/>
      <c r="Z28" s="1561" t="str">
        <f t="shared" si="15"/>
        <v>公共部分装修</v>
      </c>
      <c r="AA28" s="1562">
        <f t="shared" si="3"/>
        <v>1</v>
      </c>
      <c r="AB28" s="1562">
        <f t="shared" si="4"/>
        <v>1</v>
      </c>
      <c r="AC28" s="1562">
        <f t="shared" si="5"/>
        <v>1</v>
      </c>
    </row>
    <row r="29" spans="1:29" ht="15">
      <c r="A29" s="930"/>
      <c r="B29" s="581" t="s">
        <v>806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39"/>
      <c r="Q29" s="1558" t="str">
        <f t="shared" si="11"/>
        <v>成新率</v>
      </c>
      <c r="R29" s="1559" t="s">
        <v>8</v>
      </c>
      <c r="S29" s="1560" t="e">
        <f t="shared" si="12"/>
        <v>#N/A</v>
      </c>
      <c r="T29" s="1559" t="s">
        <v>8</v>
      </c>
      <c r="U29" s="1560" t="e">
        <f t="shared" si="13"/>
        <v>#N/A</v>
      </c>
      <c r="V29" s="1559" t="s">
        <v>8</v>
      </c>
      <c r="W29" s="1560" t="e">
        <f t="shared" si="14"/>
        <v>#N/A</v>
      </c>
      <c r="X29" s="1553"/>
      <c r="Y29" s="3439"/>
      <c r="Z29" s="1561" t="str">
        <f t="shared" si="15"/>
        <v>成新率</v>
      </c>
      <c r="AA29" s="1562" t="e">
        <f t="shared" si="3"/>
        <v>#N/A</v>
      </c>
      <c r="AB29" s="1562" t="e">
        <f t="shared" si="4"/>
        <v>#N/A</v>
      </c>
      <c r="AC29" s="1562" t="e">
        <f t="shared" si="5"/>
        <v>#N/A</v>
      </c>
    </row>
    <row r="30" spans="1:29" ht="15">
      <c r="A30" s="930"/>
      <c r="B30" s="581" t="s">
        <v>807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39"/>
      <c r="Q30" s="1558" t="str">
        <f t="shared" si="11"/>
        <v>物业等级</v>
      </c>
      <c r="R30" s="1559" t="s">
        <v>8</v>
      </c>
      <c r="S30" s="1560">
        <f t="shared" si="12"/>
        <v>100</v>
      </c>
      <c r="T30" s="1559" t="s">
        <v>8</v>
      </c>
      <c r="U30" s="1560">
        <f t="shared" si="13"/>
        <v>100</v>
      </c>
      <c r="V30" s="1559" t="s">
        <v>8</v>
      </c>
      <c r="W30" s="1560">
        <f t="shared" si="14"/>
        <v>100</v>
      </c>
      <c r="X30" s="1553"/>
      <c r="Y30" s="3439"/>
      <c r="Z30" s="1561" t="str">
        <f t="shared" si="15"/>
        <v>物业等级</v>
      </c>
      <c r="AA30" s="1562">
        <f t="shared" si="3"/>
        <v>1</v>
      </c>
      <c r="AB30" s="1562">
        <f t="shared" si="4"/>
        <v>1</v>
      </c>
      <c r="AC30" s="1562">
        <f t="shared" si="5"/>
        <v>1</v>
      </c>
    </row>
    <row r="31" spans="1:29" s="1215" customFormat="1" ht="15">
      <c r="A31" s="932"/>
      <c r="B31" s="581" t="s">
        <v>808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39"/>
      <c r="Q31" s="1146" t="str">
        <f t="shared" si="11"/>
        <v>停车位面积</v>
      </c>
      <c r="R31" s="1554" t="s">
        <v>8</v>
      </c>
      <c r="S31" s="1555" t="e">
        <f t="shared" si="12"/>
        <v>#N/A</v>
      </c>
      <c r="T31" s="1554" t="s">
        <v>8</v>
      </c>
      <c r="U31" s="1555" t="e">
        <f t="shared" si="13"/>
        <v>#N/A</v>
      </c>
      <c r="V31" s="1554" t="s">
        <v>8</v>
      </c>
      <c r="W31" s="1555" t="e">
        <f t="shared" si="14"/>
        <v>#N/A</v>
      </c>
      <c r="X31" s="1556"/>
      <c r="Y31" s="3439"/>
      <c r="Z31" s="1145" t="str">
        <f t="shared" si="15"/>
        <v>停车位面积</v>
      </c>
      <c r="AA31" s="1557" t="e">
        <f t="shared" si="3"/>
        <v>#N/A</v>
      </c>
      <c r="AB31" s="1557" t="e">
        <f t="shared" si="4"/>
        <v>#N/A</v>
      </c>
      <c r="AC31" s="1557" t="e">
        <f t="shared" si="5"/>
        <v>#N/A</v>
      </c>
    </row>
    <row r="32" spans="1:29" ht="15">
      <c r="A32" s="930"/>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39" t="s">
        <v>547</v>
      </c>
      <c r="Q32" s="1558" t="str">
        <f t="shared" si="11"/>
        <v>车位类型</v>
      </c>
      <c r="R32" s="1559" t="s">
        <v>8</v>
      </c>
      <c r="S32" s="1560">
        <f t="shared" si="12"/>
        <v>100</v>
      </c>
      <c r="T32" s="1559" t="s">
        <v>8</v>
      </c>
      <c r="U32" s="1560">
        <f t="shared" si="13"/>
        <v>100</v>
      </c>
      <c r="V32" s="1559" t="s">
        <v>8</v>
      </c>
      <c r="W32" s="1560">
        <f t="shared" si="14"/>
        <v>100</v>
      </c>
      <c r="X32" s="1553"/>
      <c r="Y32" s="3439" t="s">
        <v>547</v>
      </c>
      <c r="Z32" s="1561" t="str">
        <f t="shared" si="15"/>
        <v>车位类型</v>
      </c>
      <c r="AA32" s="1562">
        <f t="shared" si="3"/>
        <v>1</v>
      </c>
      <c r="AB32" s="1562">
        <f t="shared" si="4"/>
        <v>1</v>
      </c>
      <c r="AC32" s="1562">
        <f t="shared" si="5"/>
        <v>1</v>
      </c>
    </row>
    <row r="33" spans="1:29" ht="15">
      <c r="A33" s="930"/>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39"/>
      <c r="Q33" s="1558" t="str">
        <f t="shared" si="11"/>
        <v>是否直接入户</v>
      </c>
      <c r="R33" s="1559" t="s">
        <v>8</v>
      </c>
      <c r="S33" s="1560">
        <f t="shared" si="12"/>
        <v>100</v>
      </c>
      <c r="T33" s="1559" t="s">
        <v>8</v>
      </c>
      <c r="U33" s="1560">
        <f t="shared" si="13"/>
        <v>100</v>
      </c>
      <c r="V33" s="1559" t="s">
        <v>8</v>
      </c>
      <c r="W33" s="1560">
        <f t="shared" si="14"/>
        <v>100</v>
      </c>
      <c r="X33" s="1553"/>
      <c r="Y33" s="343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39"/>
      <c r="Q34" s="1558">
        <f t="shared" si="11"/>
        <v>111</v>
      </c>
      <c r="R34" s="1559" t="s">
        <v>8</v>
      </c>
      <c r="S34" s="1560">
        <f t="shared" si="12"/>
        <v>100</v>
      </c>
      <c r="T34" s="1559" t="s">
        <v>8</v>
      </c>
      <c r="U34" s="1560">
        <f t="shared" si="13"/>
        <v>100</v>
      </c>
      <c r="V34" s="1559" t="s">
        <v>8</v>
      </c>
      <c r="W34" s="1560">
        <f t="shared" si="14"/>
        <v>100</v>
      </c>
      <c r="X34" s="1553"/>
      <c r="Y34" s="343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39"/>
      <c r="Q35" s="1590">
        <f t="shared" si="11"/>
        <v>111</v>
      </c>
      <c r="R35" s="1563" t="s">
        <v>8</v>
      </c>
      <c r="S35" s="1564">
        <f t="shared" si="12"/>
        <v>100</v>
      </c>
      <c r="T35" s="1563" t="s">
        <v>8</v>
      </c>
      <c r="U35" s="1564">
        <f t="shared" si="13"/>
        <v>100</v>
      </c>
      <c r="V35" s="1563" t="s">
        <v>8</v>
      </c>
      <c r="W35" s="1564">
        <f t="shared" si="14"/>
        <v>100</v>
      </c>
      <c r="X35" s="1565"/>
      <c r="Y35" s="3439"/>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39"/>
      <c r="Q36" s="1558">
        <f t="shared" si="11"/>
        <v>111</v>
      </c>
      <c r="R36" s="1559" t="s">
        <v>8</v>
      </c>
      <c r="S36" s="1560">
        <f t="shared" si="12"/>
        <v>100</v>
      </c>
      <c r="T36" s="1559" t="s">
        <v>8</v>
      </c>
      <c r="U36" s="1560">
        <f t="shared" si="13"/>
        <v>100</v>
      </c>
      <c r="V36" s="1559" t="s">
        <v>8</v>
      </c>
      <c r="W36" s="1560">
        <f t="shared" si="14"/>
        <v>100</v>
      </c>
      <c r="X36" s="1553"/>
      <c r="Y36" s="3439"/>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434" t="str">
        <f>A37</f>
        <v>成交单价</v>
      </c>
      <c r="Q37" s="3434"/>
      <c r="R37" s="3538">
        <f>E37</f>
        <v>0</v>
      </c>
      <c r="S37" s="3538"/>
      <c r="T37" s="3538">
        <f>G37</f>
        <v>0</v>
      </c>
      <c r="U37" s="3538"/>
      <c r="V37" s="3538">
        <f>I37</f>
        <v>0</v>
      </c>
      <c r="W37" s="3538"/>
      <c r="X37" s="1545"/>
      <c r="Y37" s="1567"/>
      <c r="Z37" s="1545"/>
      <c r="AA37" s="1545"/>
      <c r="AB37" s="1545"/>
      <c r="AC37" s="1545"/>
    </row>
    <row r="38" spans="1:29" ht="15.75" thickBot="1">
      <c r="A38" s="614" t="s">
        <v>2757</v>
      </c>
      <c r="B38" s="887"/>
      <c r="C38" s="2597" t="e">
        <f>R39</f>
        <v>#DIV/0!</v>
      </c>
      <c r="D38" s="2598"/>
      <c r="E38" s="2599" t="e">
        <f>R38</f>
        <v>#DIV/0!</v>
      </c>
      <c r="F38" s="2599"/>
      <c r="G38" s="2597" t="e">
        <f>T38</f>
        <v>#DIV/0!</v>
      </c>
      <c r="H38" s="2598"/>
      <c r="I38" s="2599" t="e">
        <f>V38</f>
        <v>#DIV/0!</v>
      </c>
      <c r="J38" s="2598"/>
      <c r="K38" s="1597"/>
      <c r="L38" s="2129"/>
      <c r="M38" s="2130"/>
      <c r="N38" s="2130"/>
      <c r="O38" s="2130"/>
      <c r="P38" s="3434" t="str">
        <f>A38</f>
        <v>比较价格（元/平方米）</v>
      </c>
      <c r="Q38" s="3434"/>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45"/>
      <c r="Y38" s="1545"/>
      <c r="Z38" s="1545"/>
      <c r="AA38" s="1545"/>
      <c r="AB38" s="1545"/>
      <c r="AC38" s="1545"/>
    </row>
    <row r="39" spans="1:29" ht="15.75" thickBot="1">
      <c r="A39" s="620" t="s">
        <v>2933</v>
      </c>
      <c r="B39" s="621"/>
      <c r="C39" s="2600" t="e">
        <f>R39</f>
        <v>#DIV/0!</v>
      </c>
      <c r="D39" s="2600"/>
      <c r="E39" s="2600"/>
      <c r="F39" s="2600"/>
      <c r="G39" s="2600"/>
      <c r="H39" s="2600"/>
      <c r="I39" s="2600"/>
      <c r="J39" s="2600"/>
      <c r="K39" s="1598"/>
      <c r="L39" s="2129"/>
      <c r="M39" s="2130"/>
      <c r="N39" s="2130"/>
      <c r="O39" s="2130"/>
      <c r="P39" s="3455" t="str">
        <f>A39</f>
        <v>估价对象XX用房的比较价格（楼面单价，元/平方米）</v>
      </c>
      <c r="Q39" s="3456"/>
      <c r="R39" s="3537" t="e">
        <f>IF(F1="售价",ROUND(AVERAGE(R38:V38),0),ROUND(AVERAGE(R38:V38),1))</f>
        <v>#DIV/0!</v>
      </c>
      <c r="S39" s="3537"/>
      <c r="T39" s="3537"/>
      <c r="U39" s="3537"/>
      <c r="V39" s="3537"/>
      <c r="W39" s="353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526</v>
      </c>
      <c r="B48" s="645"/>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528</v>
      </c>
      <c r="B51" s="647"/>
      <c r="C51" s="659" t="s">
        <v>573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574</v>
      </c>
      <c r="B53" s="664" t="s">
        <v>531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2554</v>
      </c>
      <c r="C65" s="707" t="s">
        <v>576</v>
      </c>
      <c r="D65" s="707" t="s">
        <v>577</v>
      </c>
      <c r="E65" s="707" t="s">
        <v>578</v>
      </c>
      <c r="F65" s="707" t="s">
        <v>579</v>
      </c>
      <c r="G65" s="707" t="s">
        <v>580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2555</v>
      </c>
      <c r="C67" s="2562" t="s">
        <v>2556</v>
      </c>
      <c r="D67" s="2562" t="s">
        <v>2557</v>
      </c>
      <c r="E67" s="2562" t="s">
        <v>2558</v>
      </c>
      <c r="F67" s="2562" t="s">
        <v>2559</v>
      </c>
      <c r="G67" s="2562" t="s">
        <v>2560</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741</v>
      </c>
      <c r="C69" s="707" t="s">
        <v>576</v>
      </c>
      <c r="D69" s="707" t="s">
        <v>577</v>
      </c>
      <c r="E69" s="707" t="s">
        <v>578</v>
      </c>
      <c r="F69" s="707" t="s">
        <v>579</v>
      </c>
      <c r="G69" s="707" t="s">
        <v>580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548</v>
      </c>
      <c r="B79" s="664" t="s">
        <v>811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748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817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93.75">
      <c r="A7" s="2828" t="s">
        <v>2745</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C37</f>
        <v>#DIV/0!</v>
      </c>
      <c r="C3" s="851" t="s">
        <v>793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40" t="s">
        <v>795</v>
      </c>
      <c r="D4" s="3441"/>
      <c r="E4" s="3464" t="s">
        <v>796</v>
      </c>
      <c r="F4" s="3465"/>
      <c r="G4" s="3440" t="s">
        <v>797</v>
      </c>
      <c r="H4" s="3441"/>
      <c r="I4" s="3440" t="s">
        <v>798</v>
      </c>
      <c r="J4" s="3441"/>
      <c r="K4" s="513" t="s">
        <v>799</v>
      </c>
      <c r="L4" s="2118"/>
      <c r="M4" s="2119"/>
      <c r="N4" s="2119"/>
      <c r="O4" s="2119"/>
      <c r="P4" s="3442" t="s">
        <v>800</v>
      </c>
      <c r="Q4" s="3443"/>
      <c r="R4" s="3428" t="s">
        <v>796</v>
      </c>
      <c r="S4" s="3429"/>
      <c r="T4" s="3428" t="s">
        <v>797</v>
      </c>
      <c r="U4" s="3429"/>
      <c r="V4" s="3448" t="s">
        <v>798</v>
      </c>
      <c r="W4" s="3448"/>
      <c r="X4" s="1553"/>
      <c r="Y4" s="3428" t="s">
        <v>800</v>
      </c>
      <c r="Z4" s="3429"/>
      <c r="AA4" s="3423" t="s">
        <v>796</v>
      </c>
      <c r="AB4" s="3424" t="s">
        <v>797</v>
      </c>
      <c r="AC4" s="3423" t="s">
        <v>798</v>
      </c>
    </row>
    <row r="5" spans="1:29" ht="15">
      <c r="A5" s="514"/>
      <c r="B5" s="515"/>
      <c r="C5" s="3451" t="s">
        <v>2927</v>
      </c>
      <c r="D5" s="3452"/>
      <c r="E5" s="3466" t="s">
        <v>2928</v>
      </c>
      <c r="F5" s="3467"/>
      <c r="G5" s="3451" t="s">
        <v>2929</v>
      </c>
      <c r="H5" s="3452"/>
      <c r="I5" s="3451" t="s">
        <v>2930</v>
      </c>
      <c r="J5" s="3452"/>
      <c r="K5" s="513"/>
      <c r="L5" s="2118"/>
      <c r="M5" s="2119"/>
      <c r="N5" s="2119"/>
      <c r="O5" s="2119"/>
      <c r="P5" s="3444"/>
      <c r="Q5" s="3445"/>
      <c r="R5" s="3430"/>
      <c r="S5" s="3431"/>
      <c r="T5" s="3430"/>
      <c r="U5" s="3431"/>
      <c r="V5" s="3448"/>
      <c r="W5" s="3448"/>
      <c r="X5" s="1553"/>
      <c r="Y5" s="3430"/>
      <c r="Z5" s="3431"/>
      <c r="AA5" s="3424"/>
      <c r="AB5" s="3424"/>
      <c r="AC5" s="3424"/>
    </row>
    <row r="6" spans="1:29" ht="15.75" thickBot="1">
      <c r="A6" s="516"/>
      <c r="B6" s="517"/>
      <c r="C6" s="3449" t="s">
        <v>2931</v>
      </c>
      <c r="D6" s="3450"/>
      <c r="E6" s="3468" t="s">
        <v>2931</v>
      </c>
      <c r="F6" s="3469"/>
      <c r="G6" s="3449" t="s">
        <v>2931</v>
      </c>
      <c r="H6" s="3450"/>
      <c r="I6" s="3449" t="s">
        <v>2931</v>
      </c>
      <c r="J6" s="3450"/>
      <c r="K6" s="513" t="s">
        <v>525</v>
      </c>
      <c r="L6" s="2118"/>
      <c r="M6" s="2119"/>
      <c r="N6" s="2119"/>
      <c r="O6" s="2119"/>
      <c r="P6" s="3446"/>
      <c r="Q6" s="3447"/>
      <c r="R6" s="3430"/>
      <c r="S6" s="3431"/>
      <c r="T6" s="3432"/>
      <c r="U6" s="3433"/>
      <c r="V6" s="3448"/>
      <c r="W6" s="3448"/>
      <c r="X6" s="1553"/>
      <c r="Y6" s="3432"/>
      <c r="Z6" s="3433"/>
      <c r="AA6" s="3425"/>
      <c r="AB6" s="3425"/>
      <c r="AC6" s="3425"/>
    </row>
    <row r="7" spans="1:29" s="1215" customFormat="1" ht="15.75" thickBot="1">
      <c r="A7" s="2867"/>
      <c r="B7" s="2874" t="s">
        <v>526</v>
      </c>
      <c r="C7" s="518">
        <f>'数据-取费表'!B2</f>
        <v>43700</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26" t="s">
        <v>527</v>
      </c>
      <c r="Q7" s="3435"/>
      <c r="R7" s="1554" t="s">
        <v>8</v>
      </c>
      <c r="S7" s="1555">
        <f t="shared" ref="S7:S14" si="0">F7</f>
        <v>0</v>
      </c>
      <c r="T7" s="1554" t="s">
        <v>8</v>
      </c>
      <c r="U7" s="1555">
        <f t="shared" ref="U7:U14" si="1">H7</f>
        <v>0</v>
      </c>
      <c r="V7" s="1554" t="s">
        <v>8</v>
      </c>
      <c r="W7" s="1555">
        <f t="shared" ref="W7:W14" si="2">J7</f>
        <v>0</v>
      </c>
      <c r="X7" s="1556"/>
      <c r="Y7" s="3426" t="s">
        <v>527</v>
      </c>
      <c r="Z7" s="3427"/>
      <c r="AA7" s="1557" t="e">
        <f>D7/F7</f>
        <v>#DIV/0!</v>
      </c>
      <c r="AB7" s="1557" t="e">
        <f>D7/H7</f>
        <v>#DIV/0!</v>
      </c>
      <c r="AC7" s="1557" t="e">
        <f>D7/J7</f>
        <v>#DIV/0!</v>
      </c>
    </row>
    <row r="8" spans="1:29" s="1215" customFormat="1" ht="15.75" thickBot="1">
      <c r="A8" s="2868"/>
      <c r="B8" s="2875" t="s">
        <v>528</v>
      </c>
      <c r="C8" s="524" t="s">
        <v>573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26" t="s">
        <v>530</v>
      </c>
      <c r="Q8" s="3427"/>
      <c r="R8" s="1554" t="s">
        <v>8</v>
      </c>
      <c r="S8" s="1555">
        <f t="shared" si="0"/>
        <v>0</v>
      </c>
      <c r="T8" s="1554" t="s">
        <v>8</v>
      </c>
      <c r="U8" s="1555">
        <f t="shared" si="1"/>
        <v>0</v>
      </c>
      <c r="V8" s="1554" t="s">
        <v>8</v>
      </c>
      <c r="W8" s="1555">
        <f t="shared" si="2"/>
        <v>0</v>
      </c>
      <c r="X8" s="1556"/>
      <c r="Y8" s="3426" t="s">
        <v>530</v>
      </c>
      <c r="Z8" s="3427"/>
      <c r="AA8" s="1557" t="e">
        <f t="shared" ref="AA8:AA34" si="3">D8/F8</f>
        <v>#DIV/0!</v>
      </c>
      <c r="AB8" s="1557" t="e">
        <f t="shared" ref="AB8:AB34" si="4">D8/H8</f>
        <v>#DIV/0!</v>
      </c>
      <c r="AC8" s="1557" t="e">
        <f t="shared" ref="AC8:AC34" si="5">D8/J8</f>
        <v>#DIV/0!</v>
      </c>
    </row>
    <row r="9" spans="1:29" s="1215" customFormat="1" ht="15">
      <c r="A9" s="2869"/>
      <c r="B9" s="2876"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434" t="s">
        <v>532</v>
      </c>
      <c r="Q9" s="1146" t="str">
        <f t="shared" ref="Q9:Q14" si="6">B9</f>
        <v>用途</v>
      </c>
      <c r="R9" s="1554" t="s">
        <v>8</v>
      </c>
      <c r="S9" s="1555">
        <f t="shared" si="0"/>
        <v>100</v>
      </c>
      <c r="T9" s="1554" t="s">
        <v>8</v>
      </c>
      <c r="U9" s="1555">
        <f t="shared" si="1"/>
        <v>100</v>
      </c>
      <c r="V9" s="1554" t="s">
        <v>8</v>
      </c>
      <c r="W9" s="1555">
        <f t="shared" si="2"/>
        <v>100</v>
      </c>
      <c r="X9" s="1556"/>
      <c r="Y9" s="3391"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434"/>
      <c r="Q10" s="1146" t="str">
        <f t="shared" si="6"/>
        <v>土地使用年限（年）</v>
      </c>
      <c r="R10" s="1554" t="s">
        <v>8</v>
      </c>
      <c r="S10" s="1555">
        <f t="shared" si="0"/>
        <v>100</v>
      </c>
      <c r="T10" s="1554" t="s">
        <v>8</v>
      </c>
      <c r="U10" s="1555">
        <f t="shared" si="1"/>
        <v>100</v>
      </c>
      <c r="V10" s="1554" t="s">
        <v>8</v>
      </c>
      <c r="W10" s="1555">
        <f t="shared" si="2"/>
        <v>100</v>
      </c>
      <c r="X10" s="1556"/>
      <c r="Y10" s="3391"/>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434"/>
      <c r="Q11" s="1146">
        <f t="shared" si="6"/>
        <v>111</v>
      </c>
      <c r="R11" s="1554" t="s">
        <v>8</v>
      </c>
      <c r="S11" s="1555">
        <f t="shared" si="0"/>
        <v>100</v>
      </c>
      <c r="T11" s="1554" t="s">
        <v>8</v>
      </c>
      <c r="U11" s="1555">
        <f t="shared" si="1"/>
        <v>100</v>
      </c>
      <c r="V11" s="1554" t="s">
        <v>8</v>
      </c>
      <c r="W11" s="1555">
        <f t="shared" si="2"/>
        <v>100</v>
      </c>
      <c r="X11" s="1556"/>
      <c r="Y11" s="3391"/>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434"/>
      <c r="Q12" s="1146">
        <f t="shared" si="6"/>
        <v>111</v>
      </c>
      <c r="R12" s="1554" t="s">
        <v>8</v>
      </c>
      <c r="S12" s="1555">
        <f t="shared" si="0"/>
        <v>100</v>
      </c>
      <c r="T12" s="1554" t="s">
        <v>8</v>
      </c>
      <c r="U12" s="1555">
        <f t="shared" si="1"/>
        <v>100</v>
      </c>
      <c r="V12" s="1554" t="s">
        <v>8</v>
      </c>
      <c r="W12" s="1555">
        <f t="shared" si="2"/>
        <v>100</v>
      </c>
      <c r="X12" s="1556"/>
      <c r="Y12" s="3391"/>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434"/>
      <c r="Q13" s="1146">
        <f t="shared" si="6"/>
        <v>111</v>
      </c>
      <c r="R13" s="1554" t="s">
        <v>8</v>
      </c>
      <c r="S13" s="1555">
        <f t="shared" si="0"/>
        <v>100</v>
      </c>
      <c r="T13" s="1554" t="s">
        <v>8</v>
      </c>
      <c r="U13" s="1555">
        <f t="shared" si="1"/>
        <v>100</v>
      </c>
      <c r="V13" s="1554" t="s">
        <v>8</v>
      </c>
      <c r="W13" s="1555">
        <f t="shared" si="2"/>
        <v>100</v>
      </c>
      <c r="X13" s="1556"/>
      <c r="Y13" s="3391"/>
      <c r="Z13" s="1145">
        <f t="shared" si="7"/>
        <v>111</v>
      </c>
      <c r="AA13" s="1557">
        <f t="shared" si="3"/>
        <v>1</v>
      </c>
      <c r="AB13" s="1557">
        <f t="shared" si="4"/>
        <v>1</v>
      </c>
      <c r="AC13" s="1557">
        <f t="shared" si="5"/>
        <v>1</v>
      </c>
    </row>
    <row r="14" spans="1:29" ht="85.5">
      <c r="A14" s="2865" t="s">
        <v>2751</v>
      </c>
      <c r="B14" s="166" t="s">
        <v>540</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36" t="s">
        <v>537</v>
      </c>
      <c r="Q14" s="1558" t="str">
        <f t="shared" si="6"/>
        <v>交通便捷度</v>
      </c>
      <c r="R14" s="1559" t="s">
        <v>8</v>
      </c>
      <c r="S14" s="1560">
        <f t="shared" si="0"/>
        <v>100</v>
      </c>
      <c r="T14" s="1559" t="s">
        <v>8</v>
      </c>
      <c r="U14" s="1560">
        <f t="shared" si="1"/>
        <v>100</v>
      </c>
      <c r="V14" s="1559" t="s">
        <v>8</v>
      </c>
      <c r="W14" s="1560">
        <f t="shared" si="2"/>
        <v>100</v>
      </c>
      <c r="X14" s="1553"/>
      <c r="Y14" s="3436" t="s">
        <v>537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37"/>
      <c r="Q15" s="1558"/>
      <c r="R15" s="1559"/>
      <c r="S15" s="1560"/>
      <c r="T15" s="1559"/>
      <c r="U15" s="1560"/>
      <c r="V15" s="1559"/>
      <c r="W15" s="1560"/>
      <c r="X15" s="1553"/>
      <c r="Y15" s="3437"/>
      <c r="Z15" s="1561"/>
      <c r="AA15" s="1562">
        <v>1</v>
      </c>
      <c r="AB15" s="1562">
        <v>1</v>
      </c>
      <c r="AC15" s="1562">
        <v>1</v>
      </c>
    </row>
    <row r="16" spans="1:29" ht="42.75">
      <c r="A16" s="531"/>
      <c r="B16" s="2567"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37"/>
      <c r="Q16" s="1558" t="str">
        <f>B16</f>
        <v>公共配套设施</v>
      </c>
      <c r="R16" s="1559" t="s">
        <v>8</v>
      </c>
      <c r="S16" s="1560">
        <f>F16</f>
        <v>100</v>
      </c>
      <c r="T16" s="1559" t="s">
        <v>8</v>
      </c>
      <c r="U16" s="1560">
        <f>H16</f>
        <v>100</v>
      </c>
      <c r="V16" s="1559" t="s">
        <v>8</v>
      </c>
      <c r="W16" s="1560">
        <f>J16</f>
        <v>100</v>
      </c>
      <c r="X16" s="1553"/>
      <c r="Y16" s="343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37"/>
      <c r="Q17" s="1558"/>
      <c r="R17" s="1559"/>
      <c r="S17" s="1560"/>
      <c r="T17" s="1559"/>
      <c r="U17" s="1560"/>
      <c r="V17" s="1559"/>
      <c r="W17" s="1560"/>
      <c r="X17" s="1553"/>
      <c r="Y17" s="3437"/>
      <c r="Z17" s="1561"/>
      <c r="AA17" s="1562">
        <v>1</v>
      </c>
      <c r="AB17" s="1562">
        <v>1</v>
      </c>
      <c r="AC17" s="1562">
        <v>1</v>
      </c>
    </row>
    <row r="18" spans="1:29" ht="28.5">
      <c r="A18" s="531"/>
      <c r="B18" s="2555"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37"/>
      <c r="Q18" s="2543" t="str">
        <f>B18</f>
        <v>基础设施水平</v>
      </c>
      <c r="R18" s="1559" t="s">
        <v>8</v>
      </c>
      <c r="S18" s="1560">
        <f>F18</f>
        <v>100</v>
      </c>
      <c r="T18" s="1559" t="s">
        <v>8</v>
      </c>
      <c r="U18" s="1560">
        <f>H18</f>
        <v>100</v>
      </c>
      <c r="V18" s="1559" t="s">
        <v>8</v>
      </c>
      <c r="W18" s="1560">
        <f>J18</f>
        <v>100</v>
      </c>
      <c r="X18" s="2545"/>
      <c r="Y18" s="3437"/>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37"/>
      <c r="Q19" s="2543"/>
      <c r="R19" s="1559"/>
      <c r="S19" s="1560"/>
      <c r="T19" s="1559"/>
      <c r="U19" s="1560"/>
      <c r="V19" s="1559"/>
      <c r="W19" s="1560"/>
      <c r="X19" s="2545"/>
      <c r="Y19" s="3437"/>
      <c r="Z19" s="2544"/>
      <c r="AA19" s="1562">
        <v>1</v>
      </c>
      <c r="AB19" s="1562">
        <v>1</v>
      </c>
      <c r="AC19" s="1562">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37"/>
      <c r="Q20" s="1558" t="str">
        <f>B20</f>
        <v>自然及人文环境</v>
      </c>
      <c r="R20" s="1559" t="s">
        <v>8</v>
      </c>
      <c r="S20" s="1560">
        <f>F20</f>
        <v>100</v>
      </c>
      <c r="T20" s="1559" t="s">
        <v>8</v>
      </c>
      <c r="U20" s="1560">
        <f>H20</f>
        <v>100</v>
      </c>
      <c r="V20" s="1559" t="s">
        <v>8</v>
      </c>
      <c r="W20" s="1560">
        <f>J20</f>
        <v>100</v>
      </c>
      <c r="X20" s="1553"/>
      <c r="Y20" s="343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37"/>
      <c r="Q21" s="1558"/>
      <c r="R21" s="1559"/>
      <c r="S21" s="1560"/>
      <c r="T21" s="1559"/>
      <c r="U21" s="1560"/>
      <c r="V21" s="1559"/>
      <c r="W21" s="1560"/>
      <c r="X21" s="1553"/>
      <c r="Y21" s="3437"/>
      <c r="Z21" s="1561"/>
      <c r="AA21" s="1562">
        <v>1</v>
      </c>
      <c r="AB21" s="1562">
        <v>1</v>
      </c>
      <c r="AC21" s="1562">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37"/>
      <c r="Q22" s="1558" t="str">
        <f>B22</f>
        <v>楼层</v>
      </c>
      <c r="R22" s="1559" t="s">
        <v>8</v>
      </c>
      <c r="S22" s="1560">
        <f>F22</f>
        <v>100</v>
      </c>
      <c r="T22" s="1559" t="s">
        <v>8</v>
      </c>
      <c r="U22" s="1560">
        <f>H22</f>
        <v>100</v>
      </c>
      <c r="V22" s="1559" t="s">
        <v>8</v>
      </c>
      <c r="W22" s="1560">
        <f>J22</f>
        <v>100</v>
      </c>
      <c r="X22" s="1553"/>
      <c r="Y22" s="343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37"/>
      <c r="Q23" s="1558">
        <f>B23</f>
        <v>111</v>
      </c>
      <c r="R23" s="1559" t="s">
        <v>8</v>
      </c>
      <c r="S23" s="1560">
        <f>F23</f>
        <v>100</v>
      </c>
      <c r="T23" s="1559" t="s">
        <v>8</v>
      </c>
      <c r="U23" s="1560">
        <f>H23</f>
        <v>100</v>
      </c>
      <c r="V23" s="1559" t="s">
        <v>8</v>
      </c>
      <c r="W23" s="1560">
        <f>J23</f>
        <v>100</v>
      </c>
      <c r="X23" s="1553"/>
      <c r="Y23" s="343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37"/>
      <c r="Q24" s="1558">
        <f t="shared" ref="Q24:Q34" si="11">B24</f>
        <v>111</v>
      </c>
      <c r="R24" s="1559" t="s">
        <v>8</v>
      </c>
      <c r="S24" s="1560">
        <f>F24</f>
        <v>100</v>
      </c>
      <c r="T24" s="1559" t="s">
        <v>8</v>
      </c>
      <c r="U24" s="1560">
        <f>H24</f>
        <v>100</v>
      </c>
      <c r="V24" s="1559" t="s">
        <v>8</v>
      </c>
      <c r="W24" s="1560">
        <f>J24</f>
        <v>100</v>
      </c>
      <c r="X24" s="1553"/>
      <c r="Y24" s="3437"/>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37"/>
      <c r="Q25" s="1146">
        <f t="shared" si="11"/>
        <v>111</v>
      </c>
      <c r="R25" s="1554" t="s">
        <v>8</v>
      </c>
      <c r="S25" s="1555">
        <f>F25</f>
        <v>100</v>
      </c>
      <c r="T25" s="1554" t="s">
        <v>8</v>
      </c>
      <c r="U25" s="1555">
        <f>H25</f>
        <v>100</v>
      </c>
      <c r="V25" s="1554" t="s">
        <v>8</v>
      </c>
      <c r="W25" s="1555">
        <f>J25</f>
        <v>100</v>
      </c>
      <c r="X25" s="1556"/>
      <c r="Y25" s="3437"/>
      <c r="Z25" s="1145">
        <f>Q25</f>
        <v>111</v>
      </c>
      <c r="AA25" s="1562">
        <f>D25/F25</f>
        <v>1</v>
      </c>
      <c r="AB25" s="1562">
        <f>D25/H25</f>
        <v>1</v>
      </c>
      <c r="AC25" s="1562">
        <f>D25/J25</f>
        <v>1</v>
      </c>
    </row>
    <row r="26" spans="1:29" ht="15">
      <c r="A26" s="2862" t="s">
        <v>2752</v>
      </c>
      <c r="B26" s="172" t="s">
        <v>805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38" t="s">
        <v>818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39" t="s">
        <v>818</v>
      </c>
      <c r="Z26" s="1561" t="str">
        <f t="shared" ref="Z26:Z34" si="15">Q26</f>
        <v>公共部分装修</v>
      </c>
      <c r="AA26" s="1562">
        <f t="shared" si="3"/>
        <v>1</v>
      </c>
      <c r="AB26" s="1562">
        <f t="shared" si="4"/>
        <v>1</v>
      </c>
      <c r="AC26" s="1562">
        <f t="shared" si="5"/>
        <v>1</v>
      </c>
    </row>
    <row r="27" spans="1:29" s="1334" customFormat="1" ht="15">
      <c r="A27" s="602"/>
      <c r="B27" s="526" t="s">
        <v>806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39"/>
      <c r="Q27" s="1590" t="str">
        <f t="shared" si="11"/>
        <v>成新率</v>
      </c>
      <c r="R27" s="1563" t="s">
        <v>8</v>
      </c>
      <c r="S27" s="1564" t="e">
        <f t="shared" si="12"/>
        <v>#N/A</v>
      </c>
      <c r="T27" s="1563" t="s">
        <v>8</v>
      </c>
      <c r="U27" s="1564" t="e">
        <f t="shared" si="13"/>
        <v>#N/A</v>
      </c>
      <c r="V27" s="1563" t="s">
        <v>8</v>
      </c>
      <c r="W27" s="1564" t="e">
        <f t="shared" si="14"/>
        <v>#N/A</v>
      </c>
      <c r="X27" s="1565"/>
      <c r="Y27" s="3439"/>
      <c r="Z27" s="1566" t="str">
        <f t="shared" si="15"/>
        <v>成新率</v>
      </c>
      <c r="AA27" s="1562" t="e">
        <f t="shared" si="3"/>
        <v>#N/A</v>
      </c>
      <c r="AB27" s="1562" t="e">
        <f t="shared" si="4"/>
        <v>#N/A</v>
      </c>
      <c r="AC27" s="1562"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39"/>
      <c r="Q28" s="1558" t="str">
        <f t="shared" si="11"/>
        <v>物业等级</v>
      </c>
      <c r="R28" s="1559" t="s">
        <v>8</v>
      </c>
      <c r="S28" s="1560">
        <f t="shared" si="12"/>
        <v>100</v>
      </c>
      <c r="T28" s="1559" t="s">
        <v>8</v>
      </c>
      <c r="U28" s="1560">
        <f t="shared" si="13"/>
        <v>100</v>
      </c>
      <c r="V28" s="1559" t="s">
        <v>8</v>
      </c>
      <c r="W28" s="1560">
        <f t="shared" si="14"/>
        <v>100</v>
      </c>
      <c r="X28" s="1553"/>
      <c r="Y28" s="3439"/>
      <c r="Z28" s="1561" t="str">
        <f t="shared" si="15"/>
        <v>物业等级</v>
      </c>
      <c r="AA28" s="1562">
        <f t="shared" si="3"/>
        <v>1</v>
      </c>
      <c r="AB28" s="1562">
        <f t="shared" si="4"/>
        <v>1</v>
      </c>
      <c r="AC28" s="1562">
        <f t="shared" si="5"/>
        <v>1</v>
      </c>
    </row>
    <row r="29" spans="1:29" ht="15">
      <c r="A29" s="593"/>
      <c r="B29" s="526" t="s">
        <v>819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39"/>
      <c r="Q29" s="1558" t="str">
        <f t="shared" si="11"/>
        <v>有无电梯</v>
      </c>
      <c r="R29" s="1559" t="s">
        <v>8</v>
      </c>
      <c r="S29" s="1560">
        <f t="shared" si="12"/>
        <v>100</v>
      </c>
      <c r="T29" s="1559" t="s">
        <v>8</v>
      </c>
      <c r="U29" s="1560">
        <f t="shared" si="13"/>
        <v>100</v>
      </c>
      <c r="V29" s="1559" t="s">
        <v>8</v>
      </c>
      <c r="W29" s="1560">
        <f t="shared" si="14"/>
        <v>100</v>
      </c>
      <c r="X29" s="1553"/>
      <c r="Y29" s="3439"/>
      <c r="Z29" s="1561" t="str">
        <f t="shared" si="15"/>
        <v>有无电梯</v>
      </c>
      <c r="AA29" s="1562">
        <f t="shared" si="3"/>
        <v>1</v>
      </c>
      <c r="AB29" s="1562">
        <f t="shared" si="4"/>
        <v>1</v>
      </c>
      <c r="AC29" s="1562">
        <f t="shared" si="5"/>
        <v>1</v>
      </c>
    </row>
    <row r="30" spans="1:29" ht="15">
      <c r="A30" s="593"/>
      <c r="B30" s="526" t="s">
        <v>820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39"/>
      <c r="Q30" s="1558" t="str">
        <f t="shared" si="11"/>
        <v>建筑面积</v>
      </c>
      <c r="R30" s="1559" t="s">
        <v>8</v>
      </c>
      <c r="S30" s="1560" t="e">
        <f t="shared" si="12"/>
        <v>#N/A</v>
      </c>
      <c r="T30" s="1559" t="s">
        <v>8</v>
      </c>
      <c r="U30" s="1560" t="e">
        <f t="shared" si="13"/>
        <v>#N/A</v>
      </c>
      <c r="V30" s="1559" t="s">
        <v>8</v>
      </c>
      <c r="W30" s="1560" t="e">
        <f t="shared" si="14"/>
        <v>#N/A</v>
      </c>
      <c r="X30" s="1553"/>
      <c r="Y30" s="3439"/>
      <c r="Z30" s="1561" t="str">
        <f t="shared" si="15"/>
        <v>建筑面积</v>
      </c>
      <c r="AA30" s="1562" t="e">
        <f t="shared" si="3"/>
        <v>#N/A</v>
      </c>
      <c r="AB30" s="1562" t="e">
        <f t="shared" si="4"/>
        <v>#N/A</v>
      </c>
      <c r="AC30" s="1562" t="e">
        <f t="shared" si="5"/>
        <v>#N/A</v>
      </c>
    </row>
    <row r="31" spans="1:29" s="1215" customFormat="1" ht="15">
      <c r="A31" s="599"/>
      <c r="B31" s="526" t="s">
        <v>821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39"/>
      <c r="Q31" s="1146" t="str">
        <f t="shared" si="11"/>
        <v>是否封闭</v>
      </c>
      <c r="R31" s="1554" t="s">
        <v>8</v>
      </c>
      <c r="S31" s="1555">
        <f t="shared" si="12"/>
        <v>100</v>
      </c>
      <c r="T31" s="1554" t="s">
        <v>8</v>
      </c>
      <c r="U31" s="1555">
        <f t="shared" si="13"/>
        <v>100</v>
      </c>
      <c r="V31" s="1554" t="s">
        <v>8</v>
      </c>
      <c r="W31" s="1555">
        <f t="shared" si="14"/>
        <v>100</v>
      </c>
      <c r="X31" s="1556"/>
      <c r="Y31" s="343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39" t="s">
        <v>547</v>
      </c>
      <c r="Q32" s="1558">
        <f t="shared" si="11"/>
        <v>111</v>
      </c>
      <c r="R32" s="1559" t="s">
        <v>8</v>
      </c>
      <c r="S32" s="1560">
        <f t="shared" si="12"/>
        <v>100</v>
      </c>
      <c r="T32" s="1559" t="s">
        <v>8</v>
      </c>
      <c r="U32" s="1560">
        <f t="shared" si="13"/>
        <v>100</v>
      </c>
      <c r="V32" s="1559" t="s">
        <v>8</v>
      </c>
      <c r="W32" s="1560">
        <f t="shared" si="14"/>
        <v>100</v>
      </c>
      <c r="X32" s="1553"/>
      <c r="Y32" s="3439" t="s">
        <v>547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39"/>
      <c r="Q33" s="1558">
        <f t="shared" si="11"/>
        <v>111</v>
      </c>
      <c r="R33" s="1559" t="s">
        <v>8</v>
      </c>
      <c r="S33" s="1560">
        <f t="shared" si="12"/>
        <v>100</v>
      </c>
      <c r="T33" s="1559" t="s">
        <v>8</v>
      </c>
      <c r="U33" s="1560">
        <f t="shared" si="13"/>
        <v>100</v>
      </c>
      <c r="V33" s="1559" t="s">
        <v>8</v>
      </c>
      <c r="W33" s="1560">
        <f t="shared" si="14"/>
        <v>100</v>
      </c>
      <c r="X33" s="1553"/>
      <c r="Y33" s="3439"/>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39"/>
      <c r="Q34" s="1558">
        <f t="shared" si="11"/>
        <v>111</v>
      </c>
      <c r="R34" s="1559" t="s">
        <v>8</v>
      </c>
      <c r="S34" s="1560">
        <f t="shared" si="12"/>
        <v>100</v>
      </c>
      <c r="T34" s="1559" t="s">
        <v>8</v>
      </c>
      <c r="U34" s="1560">
        <f t="shared" si="13"/>
        <v>100</v>
      </c>
      <c r="V34" s="1559" t="s">
        <v>8</v>
      </c>
      <c r="W34" s="1560">
        <f t="shared" si="14"/>
        <v>100</v>
      </c>
      <c r="X34" s="1553"/>
      <c r="Y34" s="3439"/>
      <c r="Z34" s="1561">
        <f t="shared" si="15"/>
        <v>111</v>
      </c>
      <c r="AA34" s="1562">
        <f t="shared" si="3"/>
        <v>1</v>
      </c>
      <c r="AB34" s="1562">
        <f t="shared" si="4"/>
        <v>1</v>
      </c>
      <c r="AC34" s="1562">
        <f t="shared" si="5"/>
        <v>1</v>
      </c>
    </row>
    <row r="35" spans="1:29" ht="15">
      <c r="A35" s="606" t="s">
        <v>733</v>
      </c>
      <c r="B35" s="886"/>
      <c r="C35" s="2591" t="s">
        <v>1</v>
      </c>
      <c r="D35" s="2592"/>
      <c r="E35" s="2593"/>
      <c r="F35" s="2594"/>
      <c r="G35" s="2595"/>
      <c r="H35" s="2596"/>
      <c r="I35" s="2593"/>
      <c r="J35" s="2596"/>
      <c r="K35" s="1596"/>
      <c r="L35" s="2129"/>
      <c r="M35" s="2130"/>
      <c r="N35" s="2119"/>
      <c r="O35" s="2130"/>
      <c r="P35" s="3434" t="str">
        <f>A35</f>
        <v>成交单价（元/平方米）</v>
      </c>
      <c r="Q35" s="3434"/>
      <c r="R35" s="3538">
        <f>E35</f>
        <v>0</v>
      </c>
      <c r="S35" s="3538"/>
      <c r="T35" s="3538">
        <f>G35</f>
        <v>0</v>
      </c>
      <c r="U35" s="3538"/>
      <c r="V35" s="3538">
        <f>I35</f>
        <v>0</v>
      </c>
      <c r="W35" s="3538"/>
      <c r="X35" s="1545"/>
      <c r="Y35" s="1567"/>
      <c r="Z35" s="1545"/>
      <c r="AA35" s="1545"/>
      <c r="AB35" s="1545"/>
      <c r="AC35" s="1545"/>
    </row>
    <row r="36" spans="1:29" ht="15.75" thickBot="1">
      <c r="A36" s="614" t="s">
        <v>2757</v>
      </c>
      <c r="B36" s="887"/>
      <c r="C36" s="2597" t="e">
        <f>R37</f>
        <v>#DIV/0!</v>
      </c>
      <c r="D36" s="2598"/>
      <c r="E36" s="2599" t="e">
        <f>R36</f>
        <v>#DIV/0!</v>
      </c>
      <c r="F36" s="2599"/>
      <c r="G36" s="2597" t="e">
        <f>T36</f>
        <v>#DIV/0!</v>
      </c>
      <c r="H36" s="2598"/>
      <c r="I36" s="2599" t="e">
        <f>V36</f>
        <v>#DIV/0!</v>
      </c>
      <c r="J36" s="2598"/>
      <c r="K36" s="1597"/>
      <c r="L36" s="2129"/>
      <c r="M36" s="2130"/>
      <c r="N36" s="2119"/>
      <c r="O36" s="2130"/>
      <c r="P36" s="3434" t="str">
        <f>A36</f>
        <v>比较价格（元/平方米）</v>
      </c>
      <c r="Q36" s="3434"/>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45"/>
      <c r="Y36" s="1545"/>
      <c r="Z36" s="1545"/>
      <c r="AA36" s="1545"/>
      <c r="AB36" s="1545"/>
      <c r="AC36" s="1545"/>
    </row>
    <row r="37" spans="1:29" ht="15.75" thickBot="1">
      <c r="A37" s="620" t="s">
        <v>2933</v>
      </c>
      <c r="B37" s="621"/>
      <c r="C37" s="2600" t="e">
        <f>R37</f>
        <v>#DIV/0!</v>
      </c>
      <c r="D37" s="2600"/>
      <c r="E37" s="2600"/>
      <c r="F37" s="2600"/>
      <c r="G37" s="2600"/>
      <c r="H37" s="2600"/>
      <c r="I37" s="2600"/>
      <c r="J37" s="2600"/>
      <c r="K37" s="1598"/>
      <c r="L37" s="2129"/>
      <c r="M37" s="2130"/>
      <c r="N37" s="2130"/>
      <c r="O37" s="2130"/>
      <c r="P37" s="3455" t="str">
        <f>A37</f>
        <v>估价对象XX用房的比较价格（楼面单价，元/平方米）</v>
      </c>
      <c r="Q37" s="3456"/>
      <c r="R37" s="3537" t="e">
        <f>IF(F1="售价",ROUND(AVERAGE(R36:V36),0),ROUND(AVERAGE(R36:V36),1))</f>
        <v>#DIV/0!</v>
      </c>
      <c r="S37" s="3537"/>
      <c r="T37" s="3537"/>
      <c r="U37" s="3537"/>
      <c r="V37" s="3537"/>
      <c r="W37" s="353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526</v>
      </c>
      <c r="B46" s="645"/>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528</v>
      </c>
      <c r="B49" s="647"/>
      <c r="C49" s="659" t="s">
        <v>573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574</v>
      </c>
      <c r="B51" s="664" t="s">
        <v>531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2554</v>
      </c>
      <c r="C63" s="707" t="s">
        <v>576</v>
      </c>
      <c r="D63" s="707" t="s">
        <v>577</v>
      </c>
      <c r="E63" s="707" t="s">
        <v>578</v>
      </c>
      <c r="F63" s="707" t="s">
        <v>579</v>
      </c>
      <c r="G63" s="707" t="s">
        <v>580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2555</v>
      </c>
      <c r="C65" s="2562" t="s">
        <v>2556</v>
      </c>
      <c r="D65" s="2562" t="s">
        <v>2557</v>
      </c>
      <c r="E65" s="2562" t="s">
        <v>2558</v>
      </c>
      <c r="F65" s="2562" t="s">
        <v>2559</v>
      </c>
      <c r="G65" s="2562" t="s">
        <v>2560</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741</v>
      </c>
      <c r="C67" s="707" t="s">
        <v>576</v>
      </c>
      <c r="D67" s="707" t="s">
        <v>577</v>
      </c>
      <c r="E67" s="707" t="s">
        <v>578</v>
      </c>
      <c r="F67" s="707" t="s">
        <v>579</v>
      </c>
      <c r="G67" s="707" t="s">
        <v>580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548</v>
      </c>
      <c r="B77" s="664" t="s">
        <v>748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2300</v>
      </c>
      <c r="C1" s="3547" t="s">
        <v>2301</v>
      </c>
      <c r="D1" s="3548"/>
      <c r="E1" s="3548"/>
      <c r="F1" s="3548"/>
      <c r="G1" s="3548"/>
      <c r="H1" s="3548"/>
      <c r="I1" s="3548"/>
      <c r="J1" s="3548"/>
      <c r="K1" s="3548"/>
      <c r="L1" s="3548"/>
      <c r="M1" s="3548"/>
      <c r="N1" s="3548"/>
      <c r="O1" s="3548"/>
      <c r="P1" s="3548"/>
      <c r="Q1" s="3548"/>
      <c r="R1" s="3548"/>
      <c r="S1" s="3549"/>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827</v>
      </c>
      <c r="B22" s="53">
        <f>SUM(B24:B10000)</f>
        <v>0</v>
      </c>
      <c r="C22" s="3544" t="s">
        <v>20</v>
      </c>
      <c r="D22" s="3545"/>
      <c r="E22" s="3545"/>
      <c r="F22" s="3545"/>
      <c r="G22" s="3545"/>
      <c r="H22" s="3545"/>
      <c r="I22" s="3545"/>
      <c r="J22" s="3545"/>
      <c r="K22" s="3545"/>
      <c r="L22" s="3545"/>
      <c r="M22" s="3545"/>
      <c r="N22" s="3545"/>
      <c r="O22" s="3545"/>
      <c r="P22" s="3545"/>
      <c r="Q22" s="3546"/>
      <c r="R22" s="489" t="e">
        <f>ROUND(S22*10000/B22,0)</f>
        <v>#DIV/0!</v>
      </c>
      <c r="S22" s="53">
        <f>SUM(S24:S10000)</f>
        <v>0</v>
      </c>
    </row>
    <row r="23" spans="1:45" s="1599"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00"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85" zoomScaleNormal="85" workbookViewId="0">
      <pane xSplit="6" ySplit="3" topLeftCell="G4" activePane="bottomRight" state="frozen"/>
      <selection pane="topRight" activeCell="H1" sqref="H1"/>
      <selection pane="bottomLeft" activeCell="A4" sqref="A4"/>
      <selection pane="bottomRight" activeCell="K10" activeCellId="2" sqref="A12:XFD12 A28:XFD28 A10:XFD10"/>
    </sheetView>
  </sheetViews>
  <sheetFormatPr defaultRowHeight="11.25"/>
  <cols>
    <col min="1" max="1" width="5.5" style="3250" customWidth="1"/>
    <col min="2" max="2" width="7.25" style="3250" bestFit="1" customWidth="1"/>
    <col min="3" max="3" width="4.875" style="3250" bestFit="1" customWidth="1"/>
    <col min="4" max="4" width="7.125" style="3190" customWidth="1"/>
    <col min="5" max="5" width="8.25" style="3190" customWidth="1"/>
    <col min="6" max="6" width="18.125" style="3190" customWidth="1"/>
    <col min="7" max="7" width="13.75" style="3190" customWidth="1"/>
    <col min="8" max="8" width="8" style="3190" bestFit="1" customWidth="1"/>
    <col min="9" max="9" width="13.375" style="3190" bestFit="1" customWidth="1"/>
    <col min="10" max="10" width="36.625" style="3190" bestFit="1" customWidth="1"/>
    <col min="11" max="11" width="14.375" style="3190" customWidth="1"/>
    <col min="12" max="13" width="17.75" style="3250" customWidth="1"/>
    <col min="14" max="16384" width="9" style="3190"/>
  </cols>
  <sheetData>
    <row r="1" spans="1:14" ht="39.75" customHeight="1">
      <c r="A1" s="3554" t="s">
        <v>3091</v>
      </c>
      <c r="B1" s="3555"/>
      <c r="C1" s="3555"/>
      <c r="D1" s="3555"/>
      <c r="E1" s="3555"/>
      <c r="F1" s="3555"/>
      <c r="G1" s="3555"/>
      <c r="H1" s="3555"/>
      <c r="I1" s="3555"/>
      <c r="J1" s="3555"/>
      <c r="K1" s="3555"/>
      <c r="L1" s="3555"/>
      <c r="M1" s="3555"/>
    </row>
    <row r="2" spans="1:14" ht="23.25" customHeight="1">
      <c r="A2" s="3550" t="s">
        <v>3092</v>
      </c>
      <c r="B2" s="3550" t="s">
        <v>3093</v>
      </c>
      <c r="C2" s="3550" t="s">
        <v>3094</v>
      </c>
      <c r="D2" s="3556" t="s">
        <v>3095</v>
      </c>
      <c r="E2" s="3556" t="s">
        <v>3096</v>
      </c>
      <c r="F2" s="3550" t="s">
        <v>3097</v>
      </c>
      <c r="G2" s="3550" t="s">
        <v>3098</v>
      </c>
      <c r="H2" s="3550" t="s">
        <v>3099</v>
      </c>
      <c r="I2" s="3550" t="s">
        <v>3100</v>
      </c>
      <c r="J2" s="3550" t="s">
        <v>3101</v>
      </c>
      <c r="K2" s="3552" t="s">
        <v>3102</v>
      </c>
      <c r="L2" s="3553" t="s">
        <v>3103</v>
      </c>
      <c r="M2" s="3553"/>
    </row>
    <row r="3" spans="1:14" s="3192" customFormat="1" ht="23.25" customHeight="1">
      <c r="A3" s="3551"/>
      <c r="B3" s="3551"/>
      <c r="C3" s="3551"/>
      <c r="D3" s="3557"/>
      <c r="E3" s="3557"/>
      <c r="F3" s="3551"/>
      <c r="G3" s="3551"/>
      <c r="H3" s="3551"/>
      <c r="I3" s="3551"/>
      <c r="J3" s="3551"/>
      <c r="K3" s="3552"/>
      <c r="L3" s="3191" t="s">
        <v>3104</v>
      </c>
      <c r="M3" s="3191" t="s">
        <v>3105</v>
      </c>
    </row>
    <row r="4" spans="1:14" s="3199" customFormat="1" ht="95.25" hidden="1" customHeight="1">
      <c r="A4" s="3193">
        <v>2016</v>
      </c>
      <c r="B4" s="3194" t="s">
        <v>3106</v>
      </c>
      <c r="C4" s="3194" t="s">
        <v>3107</v>
      </c>
      <c r="D4" s="3195" t="s">
        <v>3108</v>
      </c>
      <c r="E4" s="3195" t="s">
        <v>3109</v>
      </c>
      <c r="F4" s="3196" t="s">
        <v>3110</v>
      </c>
      <c r="G4" s="3195" t="s">
        <v>3111</v>
      </c>
      <c r="H4" s="3195" t="s">
        <v>3112</v>
      </c>
      <c r="I4" s="3195" t="s">
        <v>3113</v>
      </c>
      <c r="J4" s="3195" t="s">
        <v>3114</v>
      </c>
      <c r="K4" s="3197">
        <v>16.73</v>
      </c>
      <c r="L4" s="3195">
        <v>15586.51</v>
      </c>
      <c r="M4" s="3195">
        <v>24154.36</v>
      </c>
      <c r="N4" s="3198">
        <f t="shared" ref="N4:N9" si="0">(L4+M4)/K4</f>
        <v>2375.4255827854154</v>
      </c>
    </row>
    <row r="5" spans="1:14" s="3199" customFormat="1" ht="95.25" hidden="1" customHeight="1">
      <c r="A5" s="3193">
        <v>2016</v>
      </c>
      <c r="B5" s="3194" t="s">
        <v>3106</v>
      </c>
      <c r="C5" s="3194" t="s">
        <v>3107</v>
      </c>
      <c r="D5" s="3195" t="s">
        <v>3108</v>
      </c>
      <c r="E5" s="3195" t="s">
        <v>3109</v>
      </c>
      <c r="F5" s="3196" t="s">
        <v>3115</v>
      </c>
      <c r="G5" s="3195" t="s">
        <v>3111</v>
      </c>
      <c r="H5" s="3195" t="s">
        <v>3112</v>
      </c>
      <c r="I5" s="3195" t="s">
        <v>3116</v>
      </c>
      <c r="J5" s="3195" t="s">
        <v>3114</v>
      </c>
      <c r="K5" s="3200">
        <v>39.770000000000003</v>
      </c>
      <c r="L5" s="3195">
        <v>17716.41</v>
      </c>
      <c r="M5" s="3195">
        <v>2390.64</v>
      </c>
      <c r="N5" s="3198">
        <f t="shared" si="0"/>
        <v>505.58335428715105</v>
      </c>
    </row>
    <row r="6" spans="1:14" s="3199" customFormat="1" ht="95.25" hidden="1" customHeight="1">
      <c r="A6" s="3193">
        <v>2016</v>
      </c>
      <c r="B6" s="3194" t="s">
        <v>3106</v>
      </c>
      <c r="C6" s="3194" t="s">
        <v>3107</v>
      </c>
      <c r="D6" s="3195" t="s">
        <v>3108</v>
      </c>
      <c r="E6" s="3201" t="s">
        <v>3117</v>
      </c>
      <c r="F6" s="3196" t="s">
        <v>3118</v>
      </c>
      <c r="G6" s="3201" t="s">
        <v>3119</v>
      </c>
      <c r="H6" s="3201" t="s">
        <v>3112</v>
      </c>
      <c r="I6" s="3201" t="s">
        <v>3120</v>
      </c>
      <c r="J6" s="3195" t="s">
        <v>3121</v>
      </c>
      <c r="K6" s="3200">
        <v>663.6</v>
      </c>
      <c r="L6" s="3195">
        <v>191909.86</v>
      </c>
      <c r="M6" s="3195">
        <v>204137.8</v>
      </c>
      <c r="N6" s="3198">
        <f t="shared" si="0"/>
        <v>596.81684749849296</v>
      </c>
    </row>
    <row r="7" spans="1:14" s="3199" customFormat="1" ht="95.25" hidden="1" customHeight="1">
      <c r="A7" s="3193">
        <v>2016</v>
      </c>
      <c r="B7" s="3194" t="s">
        <v>3122</v>
      </c>
      <c r="C7" s="3194" t="s">
        <v>3123</v>
      </c>
      <c r="D7" s="3202" t="s">
        <v>3108</v>
      </c>
      <c r="E7" s="3202" t="s">
        <v>3117</v>
      </c>
      <c r="F7" s="3196" t="s">
        <v>3124</v>
      </c>
      <c r="G7" s="3203" t="s">
        <v>3125</v>
      </c>
      <c r="H7" s="3202" t="s">
        <v>3126</v>
      </c>
      <c r="I7" s="3202" t="s">
        <v>3127</v>
      </c>
      <c r="J7" s="3202" t="s">
        <v>3128</v>
      </c>
      <c r="K7" s="3200">
        <v>129.57</v>
      </c>
      <c r="L7" s="3195">
        <v>122822.85</v>
      </c>
      <c r="M7" s="3195">
        <v>403475</v>
      </c>
      <c r="N7" s="3198">
        <f t="shared" si="0"/>
        <v>4061.8804507216178</v>
      </c>
    </row>
    <row r="8" spans="1:14" s="3198" customFormat="1" ht="95.25" hidden="1" customHeight="1">
      <c r="A8" s="3193">
        <v>2017</v>
      </c>
      <c r="B8" s="3204" t="s">
        <v>3129</v>
      </c>
      <c r="C8" s="3204" t="s">
        <v>3130</v>
      </c>
      <c r="D8" s="3202" t="s">
        <v>3108</v>
      </c>
      <c r="E8" s="3205" t="s">
        <v>3117</v>
      </c>
      <c r="F8" s="3196" t="s">
        <v>3131</v>
      </c>
      <c r="G8" s="3203" t="s">
        <v>3125</v>
      </c>
      <c r="H8" s="3205" t="s">
        <v>3126</v>
      </c>
      <c r="I8" s="3205" t="s">
        <v>3132</v>
      </c>
      <c r="J8" s="3206" t="s">
        <v>3133</v>
      </c>
      <c r="K8" s="3200">
        <v>34.26</v>
      </c>
      <c r="L8" s="3195">
        <v>38931.19</v>
      </c>
      <c r="M8" s="3195">
        <v>64775.53</v>
      </c>
      <c r="N8" s="3198">
        <f t="shared" si="0"/>
        <v>3027.0496205487452</v>
      </c>
    </row>
    <row r="9" spans="1:14" s="3198" customFormat="1" ht="95.25" hidden="1" customHeight="1">
      <c r="A9" s="3193">
        <v>2017</v>
      </c>
      <c r="B9" s="3204" t="s">
        <v>3129</v>
      </c>
      <c r="C9" s="3204" t="s">
        <v>3130</v>
      </c>
      <c r="D9" s="3202" t="s">
        <v>3108</v>
      </c>
      <c r="E9" s="3202" t="s">
        <v>3117</v>
      </c>
      <c r="F9" s="3196" t="s">
        <v>3134</v>
      </c>
      <c r="G9" s="3202" t="s">
        <v>3125</v>
      </c>
      <c r="H9" s="3202" t="s">
        <v>3126</v>
      </c>
      <c r="I9" s="3202" t="s">
        <v>3113</v>
      </c>
      <c r="J9" s="3202" t="s">
        <v>3135</v>
      </c>
      <c r="K9" s="3200">
        <v>51.07</v>
      </c>
      <c r="L9" s="3195">
        <v>33012.44</v>
      </c>
      <c r="M9" s="3195">
        <v>46402.36</v>
      </c>
      <c r="N9" s="3198">
        <f t="shared" si="0"/>
        <v>1555.0186019189348</v>
      </c>
    </row>
    <row r="10" spans="1:14" s="3212" customFormat="1" ht="95.25" customHeight="1">
      <c r="A10" s="3207">
        <v>2017</v>
      </c>
      <c r="B10" s="3208" t="s">
        <v>3129</v>
      </c>
      <c r="C10" s="3208" t="s">
        <v>3130</v>
      </c>
      <c r="D10" s="3209" t="s">
        <v>3136</v>
      </c>
      <c r="E10" s="3209" t="s">
        <v>3117</v>
      </c>
      <c r="F10" s="3210" t="s">
        <v>3137</v>
      </c>
      <c r="G10" s="3209" t="s">
        <v>3138</v>
      </c>
      <c r="H10" s="3209" t="s">
        <v>3112</v>
      </c>
      <c r="I10" s="3209" t="s">
        <v>3139</v>
      </c>
      <c r="J10" s="3209" t="s">
        <v>3140</v>
      </c>
      <c r="K10" s="3211">
        <v>96.99</v>
      </c>
      <c r="L10" s="3211">
        <v>51676.39</v>
      </c>
      <c r="M10" s="3211">
        <v>172115.08</v>
      </c>
      <c r="N10" s="3212">
        <f>(L10+M10)/K10</f>
        <v>2307.3664295288172</v>
      </c>
    </row>
    <row r="11" spans="1:14" s="3198" customFormat="1" ht="95.25" hidden="1" customHeight="1">
      <c r="A11" s="3193">
        <v>2017</v>
      </c>
      <c r="B11" s="3204" t="s">
        <v>3129</v>
      </c>
      <c r="C11" s="3204" t="s">
        <v>3130</v>
      </c>
      <c r="D11" s="3203" t="s">
        <v>3136</v>
      </c>
      <c r="E11" s="3203" t="s">
        <v>3117</v>
      </c>
      <c r="F11" s="3196" t="s">
        <v>3141</v>
      </c>
      <c r="G11" s="3203" t="s">
        <v>3142</v>
      </c>
      <c r="H11" s="3203" t="s">
        <v>3112</v>
      </c>
      <c r="I11" s="3213" t="s">
        <v>3143</v>
      </c>
      <c r="J11" s="3214" t="s">
        <v>3144</v>
      </c>
      <c r="K11" s="3215">
        <v>49.52</v>
      </c>
      <c r="L11" s="3195">
        <v>25737.439999999999</v>
      </c>
      <c r="M11" s="3195">
        <v>180122.23999999999</v>
      </c>
      <c r="N11" s="3198">
        <f t="shared" ref="N11:N32" si="1">(L11+M11)/K11</f>
        <v>4157.1017770597737</v>
      </c>
    </row>
    <row r="12" spans="1:14" s="3212" customFormat="1" ht="95.25" customHeight="1">
      <c r="A12" s="3207">
        <v>2017</v>
      </c>
      <c r="B12" s="3208" t="s">
        <v>3129</v>
      </c>
      <c r="C12" s="3208" t="s">
        <v>3130</v>
      </c>
      <c r="D12" s="3209" t="s">
        <v>3145</v>
      </c>
      <c r="E12" s="3209" t="s">
        <v>3117</v>
      </c>
      <c r="F12" s="3210" t="s">
        <v>3146</v>
      </c>
      <c r="G12" s="3209" t="s">
        <v>3147</v>
      </c>
      <c r="H12" s="3216" t="s">
        <v>3126</v>
      </c>
      <c r="I12" s="3209" t="s">
        <v>3148</v>
      </c>
      <c r="J12" s="3211" t="s">
        <v>3149</v>
      </c>
      <c r="K12" s="3217">
        <v>116.6</v>
      </c>
      <c r="L12" s="3211">
        <v>138739.75</v>
      </c>
      <c r="M12" s="3211">
        <v>441601.69</v>
      </c>
      <c r="N12" s="3212">
        <f t="shared" si="1"/>
        <v>4977.1993138936532</v>
      </c>
    </row>
    <row r="13" spans="1:14" s="3218" customFormat="1" ht="96" hidden="1">
      <c r="A13" s="3193">
        <v>2017</v>
      </c>
      <c r="B13" s="3205" t="s">
        <v>3150</v>
      </c>
      <c r="C13" s="3205" t="s">
        <v>3151</v>
      </c>
      <c r="D13" s="3205" t="s">
        <v>3152</v>
      </c>
      <c r="E13" s="3205" t="s">
        <v>3153</v>
      </c>
      <c r="F13" s="3203" t="s">
        <v>3154</v>
      </c>
      <c r="G13" s="3203" t="s">
        <v>3155</v>
      </c>
      <c r="H13" s="3203" t="s">
        <v>3156</v>
      </c>
      <c r="I13" s="3213" t="s">
        <v>3157</v>
      </c>
      <c r="J13" s="3214" t="s">
        <v>3158</v>
      </c>
      <c r="K13" s="3197">
        <v>33.36</v>
      </c>
      <c r="L13" s="3195">
        <v>16588.11</v>
      </c>
      <c r="M13" s="3195">
        <v>13953.2</v>
      </c>
      <c r="N13" s="3198">
        <f t="shared" si="1"/>
        <v>915.50689448441256</v>
      </c>
    </row>
    <row r="14" spans="1:14" s="3220" customFormat="1" ht="95.25" customHeight="1">
      <c r="A14" s="3193">
        <v>2017</v>
      </c>
      <c r="B14" s="3219" t="s">
        <v>3159</v>
      </c>
      <c r="C14" s="3219" t="s">
        <v>3160</v>
      </c>
      <c r="D14" s="3203" t="s">
        <v>3161</v>
      </c>
      <c r="E14" s="3203" t="s">
        <v>3117</v>
      </c>
      <c r="F14" s="3205" t="s">
        <v>3162</v>
      </c>
      <c r="G14" s="3203" t="s">
        <v>3163</v>
      </c>
      <c r="H14" s="3203" t="s">
        <v>3156</v>
      </c>
      <c r="I14" s="3213" t="s">
        <v>3164</v>
      </c>
      <c r="J14" s="3213" t="s">
        <v>3165</v>
      </c>
      <c r="K14" s="3195">
        <v>19.994820000000001</v>
      </c>
      <c r="L14" s="3195">
        <v>4110.28</v>
      </c>
      <c r="M14" s="3195">
        <v>1634.87</v>
      </c>
      <c r="N14" s="3198">
        <f t="shared" si="1"/>
        <v>287.33191896701243</v>
      </c>
    </row>
    <row r="15" spans="1:14" s="3218" customFormat="1" ht="95.25" hidden="1" customHeight="1">
      <c r="A15" s="3193">
        <v>2017</v>
      </c>
      <c r="B15" s="3204" t="s">
        <v>3166</v>
      </c>
      <c r="C15" s="3204" t="s">
        <v>3167</v>
      </c>
      <c r="D15" s="3203" t="s">
        <v>3168</v>
      </c>
      <c r="E15" s="3203" t="s">
        <v>3117</v>
      </c>
      <c r="F15" s="3203" t="s">
        <v>3169</v>
      </c>
      <c r="G15" s="3203" t="s">
        <v>3170</v>
      </c>
      <c r="H15" s="3203" t="s">
        <v>3126</v>
      </c>
      <c r="I15" s="3213" t="s">
        <v>3171</v>
      </c>
      <c r="J15" s="3214" t="s">
        <v>3172</v>
      </c>
      <c r="K15" s="3221">
        <v>72.180000000000007</v>
      </c>
      <c r="L15" s="3195">
        <v>20148.59</v>
      </c>
      <c r="M15" s="3195">
        <v>195592.13</v>
      </c>
      <c r="N15" s="3198">
        <f t="shared" si="1"/>
        <v>2988.9265724577444</v>
      </c>
    </row>
    <row r="16" spans="1:14" s="3218" customFormat="1" ht="95.25" hidden="1" customHeight="1">
      <c r="A16" s="3193">
        <v>2017</v>
      </c>
      <c r="B16" s="3204" t="s">
        <v>3166</v>
      </c>
      <c r="C16" s="3204" t="s">
        <v>3167</v>
      </c>
      <c r="D16" s="3203" t="s">
        <v>3168</v>
      </c>
      <c r="E16" s="3203" t="s">
        <v>3117</v>
      </c>
      <c r="F16" s="3203" t="s">
        <v>3173</v>
      </c>
      <c r="G16" s="3203" t="s">
        <v>3174</v>
      </c>
      <c r="H16" s="3203" t="s">
        <v>3126</v>
      </c>
      <c r="I16" s="3213" t="s">
        <v>3175</v>
      </c>
      <c r="J16" s="3222" t="s">
        <v>3176</v>
      </c>
      <c r="K16" s="3200">
        <v>148.19999999999999</v>
      </c>
      <c r="L16" s="3195">
        <v>46469.07</v>
      </c>
      <c r="M16" s="3195">
        <v>462882.97</v>
      </c>
      <c r="N16" s="3198">
        <f t="shared" si="1"/>
        <v>3436.9233468286102</v>
      </c>
    </row>
    <row r="17" spans="1:14" s="3223" customFormat="1" ht="95.25" hidden="1" customHeight="1">
      <c r="A17" s="3193">
        <v>2017</v>
      </c>
      <c r="B17" s="3219" t="s">
        <v>3177</v>
      </c>
      <c r="C17" s="3219" t="s">
        <v>3178</v>
      </c>
      <c r="D17" s="3203" t="s">
        <v>3179</v>
      </c>
      <c r="E17" s="3203" t="s">
        <v>3117</v>
      </c>
      <c r="F17" s="3203" t="s">
        <v>3180</v>
      </c>
      <c r="G17" s="3203" t="s">
        <v>3181</v>
      </c>
      <c r="H17" s="3203" t="s">
        <v>3126</v>
      </c>
      <c r="I17" s="3213" t="s">
        <v>3182</v>
      </c>
      <c r="J17" s="3213" t="s">
        <v>3183</v>
      </c>
      <c r="K17" s="3200">
        <v>89.78</v>
      </c>
      <c r="L17" s="3195">
        <v>52725.51</v>
      </c>
      <c r="M17" s="3195">
        <v>150160.9</v>
      </c>
      <c r="N17" s="3198">
        <f t="shared" si="1"/>
        <v>2259.8174426375585</v>
      </c>
    </row>
    <row r="18" spans="1:14" s="3218" customFormat="1" ht="95.25" hidden="1" customHeight="1">
      <c r="A18" s="3193">
        <v>2017</v>
      </c>
      <c r="B18" s="3219" t="s">
        <v>3177</v>
      </c>
      <c r="C18" s="3219" t="s">
        <v>3178</v>
      </c>
      <c r="D18" s="3203" t="s">
        <v>3179</v>
      </c>
      <c r="E18" s="3203" t="s">
        <v>3117</v>
      </c>
      <c r="F18" s="3203" t="s">
        <v>3184</v>
      </c>
      <c r="G18" s="3203" t="s">
        <v>3185</v>
      </c>
      <c r="H18" s="3203" t="s">
        <v>3126</v>
      </c>
      <c r="I18" s="3213" t="s">
        <v>3186</v>
      </c>
      <c r="J18" s="3224" t="s">
        <v>3187</v>
      </c>
      <c r="K18" s="3200">
        <v>146.24</v>
      </c>
      <c r="L18" s="3195">
        <v>73331.179999999993</v>
      </c>
      <c r="M18" s="3195">
        <v>459399.64</v>
      </c>
      <c r="N18" s="3198">
        <f t="shared" si="1"/>
        <v>3642.8529814004378</v>
      </c>
    </row>
    <row r="19" spans="1:14" s="3218" customFormat="1" ht="95.25" customHeight="1">
      <c r="A19" s="3193">
        <v>2017</v>
      </c>
      <c r="B19" s="3219" t="s">
        <v>3188</v>
      </c>
      <c r="C19" s="3219" t="s">
        <v>3178</v>
      </c>
      <c r="D19" s="3203" t="s">
        <v>3161</v>
      </c>
      <c r="E19" s="3203" t="s">
        <v>3117</v>
      </c>
      <c r="F19" s="3203" t="s">
        <v>3189</v>
      </c>
      <c r="G19" s="3203" t="s">
        <v>3190</v>
      </c>
      <c r="H19" s="3203" t="s">
        <v>3156</v>
      </c>
      <c r="I19" s="3213" t="s">
        <v>3191</v>
      </c>
      <c r="J19" s="3213" t="s">
        <v>3192</v>
      </c>
      <c r="K19" s="3195">
        <v>132.25</v>
      </c>
      <c r="L19" s="3195">
        <v>24298.5</v>
      </c>
      <c r="M19" s="3195">
        <v>107594.55</v>
      </c>
      <c r="N19" s="3198">
        <f t="shared" si="1"/>
        <v>997.30094517958401</v>
      </c>
    </row>
    <row r="20" spans="1:14" s="3229" customFormat="1" ht="95.25" hidden="1" customHeight="1">
      <c r="A20" s="3193">
        <v>2017</v>
      </c>
      <c r="B20" s="3219" t="s">
        <v>3188</v>
      </c>
      <c r="C20" s="3225" t="s">
        <v>3178</v>
      </c>
      <c r="D20" s="3226" t="s">
        <v>3193</v>
      </c>
      <c r="E20" s="3203" t="s">
        <v>3153</v>
      </c>
      <c r="F20" s="3227" t="s">
        <v>3194</v>
      </c>
      <c r="G20" s="3203" t="s">
        <v>3170</v>
      </c>
      <c r="H20" s="3203" t="s">
        <v>3126</v>
      </c>
      <c r="I20" s="3228" t="s">
        <v>3195</v>
      </c>
      <c r="J20" s="3228" t="s">
        <v>3196</v>
      </c>
      <c r="K20" s="3200">
        <v>217.58</v>
      </c>
      <c r="L20" s="3195">
        <v>106922.18</v>
      </c>
      <c r="M20" s="3195">
        <v>1002860.16</v>
      </c>
      <c r="N20" s="3198">
        <f t="shared" si="1"/>
        <v>5100.5714679658058</v>
      </c>
    </row>
    <row r="21" spans="1:14" s="3199" customFormat="1" ht="95.25" hidden="1" customHeight="1">
      <c r="A21" s="3230">
        <v>2018</v>
      </c>
      <c r="B21" s="3219" t="s">
        <v>3197</v>
      </c>
      <c r="C21" s="3219" t="s">
        <v>3160</v>
      </c>
      <c r="D21" s="3231" t="s">
        <v>3152</v>
      </c>
      <c r="E21" s="3231" t="s">
        <v>3153</v>
      </c>
      <c r="F21" s="3231" t="s">
        <v>3198</v>
      </c>
      <c r="G21" s="3231" t="s">
        <v>3199</v>
      </c>
      <c r="H21" s="3231" t="s">
        <v>3156</v>
      </c>
      <c r="I21" s="3232" t="s">
        <v>3200</v>
      </c>
      <c r="J21" s="3233" t="s">
        <v>3201</v>
      </c>
      <c r="K21" s="3234">
        <v>726.3</v>
      </c>
      <c r="L21" s="3195">
        <v>281939.06</v>
      </c>
      <c r="M21" s="3195">
        <v>704305.38</v>
      </c>
      <c r="N21" s="3198">
        <f t="shared" si="1"/>
        <v>1357.9022993253477</v>
      </c>
    </row>
    <row r="22" spans="1:14" s="3236" customFormat="1" ht="95.25" hidden="1" customHeight="1">
      <c r="A22" s="3231">
        <v>2018</v>
      </c>
      <c r="B22" s="3219" t="s">
        <v>3202</v>
      </c>
      <c r="C22" s="3235" t="s">
        <v>3203</v>
      </c>
      <c r="D22" s="3205" t="s">
        <v>3193</v>
      </c>
      <c r="E22" s="3205" t="s">
        <v>3117</v>
      </c>
      <c r="F22" s="3205" t="s">
        <v>3204</v>
      </c>
      <c r="G22" s="3205" t="s">
        <v>3170</v>
      </c>
      <c r="H22" s="3205" t="s">
        <v>3126</v>
      </c>
      <c r="I22" s="3232" t="s">
        <v>3205</v>
      </c>
      <c r="J22" s="3233" t="s">
        <v>3206</v>
      </c>
      <c r="K22" s="3200">
        <v>193.55</v>
      </c>
      <c r="L22" s="3195">
        <v>230654.05</v>
      </c>
      <c r="M22" s="3195">
        <v>598903.21</v>
      </c>
      <c r="N22" s="3198">
        <f t="shared" si="1"/>
        <v>4286.0101265822786</v>
      </c>
    </row>
    <row r="23" spans="1:14" s="3236" customFormat="1" ht="95.25" hidden="1" customHeight="1">
      <c r="A23" s="3231">
        <v>2018</v>
      </c>
      <c r="B23" s="3219" t="s">
        <v>3202</v>
      </c>
      <c r="C23" s="3235" t="s">
        <v>3203</v>
      </c>
      <c r="D23" s="3205" t="s">
        <v>3193</v>
      </c>
      <c r="E23" s="3205" t="s">
        <v>3117</v>
      </c>
      <c r="F23" s="3205" t="s">
        <v>3207</v>
      </c>
      <c r="G23" s="3205" t="s">
        <v>3208</v>
      </c>
      <c r="H23" s="3205" t="s">
        <v>3126</v>
      </c>
      <c r="I23" s="3232" t="s">
        <v>3209</v>
      </c>
      <c r="J23" s="3233" t="s">
        <v>3210</v>
      </c>
      <c r="K23" s="3237">
        <v>210.43</v>
      </c>
      <c r="L23" s="3195">
        <v>23862.83</v>
      </c>
      <c r="M23" s="3195">
        <v>602931.53</v>
      </c>
      <c r="N23" s="3198">
        <f t="shared" si="1"/>
        <v>2978.6359359406929</v>
      </c>
    </row>
    <row r="24" spans="1:14" s="3236" customFormat="1" ht="95.25" hidden="1" customHeight="1">
      <c r="A24" s="3231">
        <v>2018</v>
      </c>
      <c r="B24" s="3219" t="s">
        <v>3202</v>
      </c>
      <c r="C24" s="3235" t="s">
        <v>3203</v>
      </c>
      <c r="D24" s="3205" t="s">
        <v>3193</v>
      </c>
      <c r="E24" s="3205" t="s">
        <v>3117</v>
      </c>
      <c r="F24" s="3205" t="s">
        <v>3211</v>
      </c>
      <c r="G24" s="3205" t="s">
        <v>3170</v>
      </c>
      <c r="H24" s="3205" t="s">
        <v>3126</v>
      </c>
      <c r="I24" s="3232" t="s">
        <v>3212</v>
      </c>
      <c r="J24" s="3233" t="s">
        <v>3213</v>
      </c>
      <c r="K24" s="3237">
        <v>74.25</v>
      </c>
      <c r="L24" s="3195">
        <v>13520.67</v>
      </c>
      <c r="M24" s="3195">
        <v>291651.92</v>
      </c>
      <c r="N24" s="3198">
        <f t="shared" si="1"/>
        <v>4110.0685521885516</v>
      </c>
    </row>
    <row r="25" spans="1:14" s="3236" customFormat="1" ht="95.25" hidden="1" customHeight="1">
      <c r="A25" s="3231">
        <v>2018</v>
      </c>
      <c r="B25" s="3219" t="s">
        <v>3202</v>
      </c>
      <c r="C25" s="3235" t="s">
        <v>3203</v>
      </c>
      <c r="D25" s="3205" t="s">
        <v>3214</v>
      </c>
      <c r="E25" s="3205" t="s">
        <v>3117</v>
      </c>
      <c r="F25" s="3205" t="s">
        <v>3215</v>
      </c>
      <c r="G25" s="3205" t="s">
        <v>3216</v>
      </c>
      <c r="H25" s="3205" t="s">
        <v>3126</v>
      </c>
      <c r="I25" s="3232" t="s">
        <v>3217</v>
      </c>
      <c r="J25" s="3196" t="s">
        <v>3218</v>
      </c>
      <c r="K25" s="3237">
        <v>29.09</v>
      </c>
      <c r="L25" s="3195">
        <v>12773.36</v>
      </c>
      <c r="M25" s="3195">
        <v>231746.85</v>
      </c>
      <c r="N25" s="3198">
        <f t="shared" si="1"/>
        <v>8405.6448951529746</v>
      </c>
    </row>
    <row r="26" spans="1:14" s="3236" customFormat="1" ht="95.25" hidden="1" customHeight="1">
      <c r="A26" s="3231">
        <v>2018</v>
      </c>
      <c r="B26" s="3219" t="s">
        <v>3219</v>
      </c>
      <c r="C26" s="3238" t="s">
        <v>3220</v>
      </c>
      <c r="D26" s="3237" t="s">
        <v>3193</v>
      </c>
      <c r="E26" s="3237" t="s">
        <v>3117</v>
      </c>
      <c r="F26" s="3237" t="s">
        <v>3221</v>
      </c>
      <c r="G26" s="3237" t="s">
        <v>3170</v>
      </c>
      <c r="H26" s="3237" t="s">
        <v>3126</v>
      </c>
      <c r="I26" s="3237" t="s">
        <v>3222</v>
      </c>
      <c r="J26" s="3237" t="s">
        <v>3223</v>
      </c>
      <c r="K26" s="3237">
        <v>165.53</v>
      </c>
      <c r="L26" s="3195">
        <v>55495.91</v>
      </c>
      <c r="M26" s="3195">
        <v>418159.92</v>
      </c>
      <c r="N26" s="3198">
        <f t="shared" si="1"/>
        <v>2861.4500694738113</v>
      </c>
    </row>
    <row r="27" spans="1:14" s="3236" customFormat="1" ht="72" hidden="1">
      <c r="A27" s="3231">
        <v>2018</v>
      </c>
      <c r="B27" s="3219" t="s">
        <v>3224</v>
      </c>
      <c r="C27" s="3238" t="s">
        <v>3220</v>
      </c>
      <c r="D27" s="3237" t="s">
        <v>3193</v>
      </c>
      <c r="E27" s="3237" t="s">
        <v>3117</v>
      </c>
      <c r="F27" s="3237" t="s">
        <v>3225</v>
      </c>
      <c r="G27" s="3237" t="s">
        <v>3226</v>
      </c>
      <c r="H27" s="3237" t="s">
        <v>3126</v>
      </c>
      <c r="I27" s="3237" t="s">
        <v>3227</v>
      </c>
      <c r="J27" s="3237" t="s">
        <v>3228</v>
      </c>
      <c r="K27" s="3239">
        <v>175.57</v>
      </c>
      <c r="L27" s="3195">
        <v>157294.39999999999</v>
      </c>
      <c r="M27" s="3195">
        <v>394653.43</v>
      </c>
      <c r="N27" s="3198">
        <f t="shared" si="1"/>
        <v>3143.7479637751321</v>
      </c>
    </row>
    <row r="28" spans="1:14" s="3245" customFormat="1" ht="95.25" customHeight="1">
      <c r="A28" s="3240">
        <v>2018</v>
      </c>
      <c r="B28" s="3241" t="s">
        <v>3229</v>
      </c>
      <c r="C28" s="3242" t="s">
        <v>3230</v>
      </c>
      <c r="D28" s="3243" t="s">
        <v>3145</v>
      </c>
      <c r="E28" s="3243" t="s">
        <v>3117</v>
      </c>
      <c r="F28" s="3243" t="s">
        <v>3231</v>
      </c>
      <c r="G28" s="3243" t="s">
        <v>3232</v>
      </c>
      <c r="H28" s="3243" t="s">
        <v>3126</v>
      </c>
      <c r="I28" s="3243" t="s">
        <v>3233</v>
      </c>
      <c r="J28" s="3243" t="s">
        <v>3234</v>
      </c>
      <c r="K28" s="3244">
        <v>49.58</v>
      </c>
      <c r="L28" s="3211">
        <v>61873.95</v>
      </c>
      <c r="M28" s="3211">
        <v>240341.82</v>
      </c>
      <c r="N28" s="3212">
        <f t="shared" si="1"/>
        <v>6095.5177490923761</v>
      </c>
    </row>
    <row r="29" spans="1:14" s="3199" customFormat="1" ht="95.25" hidden="1" customHeight="1">
      <c r="A29" s="3231">
        <v>2018</v>
      </c>
      <c r="B29" s="3219" t="s">
        <v>3229</v>
      </c>
      <c r="C29" s="3246" t="s">
        <v>3230</v>
      </c>
      <c r="D29" s="3247" t="s">
        <v>3235</v>
      </c>
      <c r="E29" s="3247" t="s">
        <v>3117</v>
      </c>
      <c r="F29" s="3247" t="s">
        <v>3236</v>
      </c>
      <c r="G29" s="3247" t="s">
        <v>3237</v>
      </c>
      <c r="H29" s="3247" t="s">
        <v>3126</v>
      </c>
      <c r="I29" s="3247" t="s">
        <v>3238</v>
      </c>
      <c r="J29" s="3247" t="s">
        <v>3239</v>
      </c>
      <c r="K29" s="3248">
        <v>113.32</v>
      </c>
      <c r="L29" s="3195">
        <v>84598.35</v>
      </c>
      <c r="M29" s="3195">
        <v>378467.53</v>
      </c>
      <c r="N29" s="3198">
        <f t="shared" si="1"/>
        <v>4086.3561595481824</v>
      </c>
    </row>
    <row r="30" spans="1:14" s="3199" customFormat="1" ht="95.25" hidden="1" customHeight="1">
      <c r="A30" s="3231">
        <v>2018</v>
      </c>
      <c r="B30" s="3219" t="s">
        <v>3229</v>
      </c>
      <c r="C30" s="3200">
        <v>12</v>
      </c>
      <c r="D30" s="3247" t="s">
        <v>3193</v>
      </c>
      <c r="E30" s="3247" t="s">
        <v>3117</v>
      </c>
      <c r="F30" s="3247" t="s">
        <v>3240</v>
      </c>
      <c r="G30" s="3247" t="s">
        <v>3170</v>
      </c>
      <c r="H30" s="3247" t="s">
        <v>3126</v>
      </c>
      <c r="I30" s="3247" t="s">
        <v>3241</v>
      </c>
      <c r="J30" s="3247" t="s">
        <v>3242</v>
      </c>
      <c r="K30" s="3237">
        <v>239.14</v>
      </c>
      <c r="L30" s="3195">
        <v>61695.44</v>
      </c>
      <c r="M30" s="3195">
        <v>859650.5</v>
      </c>
      <c r="N30" s="3198">
        <f t="shared" si="1"/>
        <v>3852.7470937526136</v>
      </c>
    </row>
    <row r="31" spans="1:14" s="3199" customFormat="1" ht="120" hidden="1" customHeight="1">
      <c r="A31" s="3231">
        <v>2018</v>
      </c>
      <c r="B31" s="3219" t="s">
        <v>3229</v>
      </c>
      <c r="C31" s="3200" t="s">
        <v>3230</v>
      </c>
      <c r="D31" s="3247" t="s">
        <v>3179</v>
      </c>
      <c r="E31" s="3247" t="s">
        <v>3117</v>
      </c>
      <c r="F31" s="3247" t="s">
        <v>3243</v>
      </c>
      <c r="G31" s="3247" t="s">
        <v>3244</v>
      </c>
      <c r="H31" s="3247" t="s">
        <v>3126</v>
      </c>
      <c r="I31" s="3247" t="s">
        <v>3245</v>
      </c>
      <c r="J31" s="3247" t="s">
        <v>3246</v>
      </c>
      <c r="K31" s="3237">
        <v>129.57</v>
      </c>
      <c r="L31" s="3195">
        <v>164075.88</v>
      </c>
      <c r="M31" s="3195">
        <v>363152.48</v>
      </c>
      <c r="N31" s="3198">
        <f t="shared" si="1"/>
        <v>4069.061974222428</v>
      </c>
    </row>
    <row r="32" spans="1:14" s="3199" customFormat="1" ht="72" hidden="1">
      <c r="A32" s="3231">
        <v>2018</v>
      </c>
      <c r="B32" s="3219" t="s">
        <v>3247</v>
      </c>
      <c r="C32" s="3200" t="s">
        <v>3248</v>
      </c>
      <c r="D32" s="3247" t="s">
        <v>3193</v>
      </c>
      <c r="E32" s="3247" t="s">
        <v>3117</v>
      </c>
      <c r="F32" s="3247" t="s">
        <v>3249</v>
      </c>
      <c r="G32" s="3247" t="s">
        <v>3170</v>
      </c>
      <c r="H32" s="3247" t="s">
        <v>3126</v>
      </c>
      <c r="I32" s="3247" t="s">
        <v>3250</v>
      </c>
      <c r="J32" s="3247" t="s">
        <v>3251</v>
      </c>
      <c r="K32" s="3237">
        <v>55.01</v>
      </c>
      <c r="L32" s="3195">
        <v>61454.45</v>
      </c>
      <c r="M32" s="3195">
        <v>558371.41</v>
      </c>
      <c r="N32" s="3198">
        <f t="shared" si="1"/>
        <v>11267.512452281404</v>
      </c>
    </row>
    <row r="33" spans="11:14">
      <c r="K33" s="3249">
        <f>SUBTOTAL(9,K10:K32)</f>
        <v>415.41481999999996</v>
      </c>
      <c r="L33" s="3250">
        <f>SUBTOTAL(9,L10:L32)</f>
        <v>280698.87</v>
      </c>
      <c r="M33" s="3250">
        <f>SUBTOTAL(9,M10:M32)</f>
        <v>963288.01</v>
      </c>
      <c r="N33" s="3190">
        <f>(L33+M33)/K33</f>
        <v>2994.5654803552748</v>
      </c>
    </row>
    <row r="34" spans="11:14">
      <c r="K34" s="3249"/>
      <c r="M34" s="3251"/>
    </row>
    <row r="35" spans="11:14">
      <c r="K35" s="3249"/>
    </row>
    <row r="36" spans="11:14">
      <c r="K36" s="3249"/>
    </row>
    <row r="37" spans="11:14">
      <c r="K37" s="3249"/>
    </row>
    <row r="38" spans="11:14">
      <c r="K38" s="3249"/>
    </row>
    <row r="39" spans="11:14">
      <c r="K39" s="3249"/>
    </row>
    <row r="40" spans="11:14">
      <c r="K40" s="3249"/>
    </row>
    <row r="41" spans="11:14">
      <c r="K41" s="3249"/>
    </row>
    <row r="42" spans="11:14">
      <c r="K42" s="3249"/>
    </row>
    <row r="43" spans="11:14">
      <c r="K43" s="3249"/>
    </row>
    <row r="44" spans="11:14">
      <c r="K44" s="3249"/>
    </row>
    <row r="45" spans="11:14">
      <c r="K45" s="3249"/>
    </row>
    <row r="46" spans="11:14">
      <c r="K46" s="3249"/>
    </row>
    <row r="47" spans="11:14">
      <c r="K47" s="3249"/>
    </row>
    <row r="48" spans="11:14">
      <c r="K48" s="3249"/>
    </row>
    <row r="49" spans="11:11">
      <c r="K49" s="3249"/>
    </row>
    <row r="50" spans="11:11">
      <c r="K50" s="3249"/>
    </row>
    <row r="51" spans="11:11">
      <c r="K51" s="3249"/>
    </row>
    <row r="52" spans="11:11">
      <c r="K52" s="3249"/>
    </row>
    <row r="53" spans="11:11">
      <c r="K53" s="3249"/>
    </row>
    <row r="54" spans="11:11">
      <c r="K54" s="3249"/>
    </row>
    <row r="55" spans="11:11">
      <c r="K55" s="3249"/>
    </row>
    <row r="56" spans="11:11">
      <c r="K56" s="3249"/>
    </row>
    <row r="57" spans="11:11">
      <c r="K57" s="3249"/>
    </row>
    <row r="58" spans="11:11">
      <c r="K58" s="3249"/>
    </row>
    <row r="59" spans="11:11">
      <c r="K59" s="3249"/>
    </row>
    <row r="60" spans="11:11">
      <c r="K60" s="3249"/>
    </row>
    <row r="61" spans="11:11">
      <c r="K61" s="3249"/>
    </row>
    <row r="62" spans="11:11">
      <c r="K62" s="3249"/>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{C9CFB456-3717-4C48-8618-8841CFFAEFDB}</x14:id>
        </ext>
      </extLst>
    </cfRule>
  </conditionalFormatting>
  <conditionalFormatting sqref="B27">
    <cfRule type="dataBar" priority="6">
      <dataBar>
        <cfvo type="min"/>
        <cfvo type="max"/>
        <color rgb="FF638EC6"/>
      </dataBar>
      <extLst>
        <ext xmlns:x14="http://schemas.microsoft.com/office/spreadsheetml/2009/9/main" uri="{B025F937-C7B1-47D3-B67F-A62EFF666E3E}">
          <x14:id>{C7636203-9E78-4E1D-8851-1B77AF740ED2}</x14:id>
        </ext>
      </extLst>
    </cfRule>
  </conditionalFormatting>
  <conditionalFormatting sqref="B28">
    <cfRule type="dataBar" priority="5">
      <dataBar>
        <cfvo type="min"/>
        <cfvo type="max"/>
        <color rgb="FF638EC6"/>
      </dataBar>
      <extLst>
        <ext xmlns:x14="http://schemas.microsoft.com/office/spreadsheetml/2009/9/main" uri="{B025F937-C7B1-47D3-B67F-A62EFF666E3E}">
          <x14:id>{DCDE14FB-0A1F-4876-A429-5B236748F0C7}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{A725FCD3-B7C6-4B0A-A490-3C9DA485DFF7}</x14:id>
        </ext>
      </extLst>
    </cfRule>
  </conditionalFormatting>
  <conditionalFormatting sqref="B30">
    <cfRule type="dataBar" priority="3">
      <dataBar>
        <cfvo type="min"/>
        <cfvo type="max"/>
        <color rgb="FF638EC6"/>
      </dataBar>
      <extLst>
        <ext xmlns:x14="http://schemas.microsoft.com/office/spreadsheetml/2009/9/main" uri="{B025F937-C7B1-47D3-B67F-A62EFF666E3E}">
          <x14:id>{741C7006-E906-4A76-9F6E-2626170C16E4}</x14:id>
        </ext>
      </extLst>
    </cfRule>
  </conditionalFormatting>
  <conditionalFormatting sqref="B31">
    <cfRule type="dataBar" priority="2">
      <dataBar>
        <cfvo type="min"/>
        <cfvo type="max"/>
        <color rgb="FF638EC6"/>
      </dataBar>
      <extLst>
        <ext xmlns:x14="http://schemas.microsoft.com/office/spreadsheetml/2009/9/main" uri="{B025F937-C7B1-47D3-B67F-A62EFF666E3E}">
          <x14:id>{02A96F23-FC9C-422A-A060-F0A292F134C9}</x14:id>
        </ext>
      </extLst>
    </cfRule>
  </conditionalFormatting>
  <conditionalFormatting sqref="B32">
    <cfRule type="dataBar" priority="1">
      <dataBar>
        <cfvo type="min"/>
        <cfvo type="max"/>
        <color rgb="FF638EC6"/>
      </dataBar>
      <extLst>
        <ext xmlns:x14="http://schemas.microsoft.com/office/spreadsheetml/2009/9/main" uri="{B025F937-C7B1-47D3-B67F-A62EFF666E3E}">
          <x14:id>{EB90E57C-A51A-4747-BD99-C5ABE6CB7547}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C9CFB456-3717-4C48-8618-8841CFFAEFD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C7636203-9E78-4E1D-8851-1B77AF740ED2}">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CDE14FB-0A1F-4876-A429-5B236748F0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725FCD3-B7C6-4B0A-A490-3C9DA485DFF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41C7006-E906-4A76-9F6E-2626170C16E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2A96F23-FC9C-422A-A060-F0A292F134C9}">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EB90E57C-A51A-4747-BD99-C5ABE6CB754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heetViews>
  <sheetFormatPr defaultRowHeight="12.75"/>
  <cols>
    <col min="1" max="1" width="90.5" style="3189" customWidth="1"/>
    <col min="2" max="2" width="6.25" style="3189" customWidth="1"/>
    <col min="3" max="3" width="11.75" style="3189" customWidth="1"/>
    <col min="4" max="5" width="13.875" style="3189" customWidth="1"/>
    <col min="6" max="6" width="6.25" style="3189" customWidth="1"/>
    <col min="7" max="7" width="7.875" style="3189" customWidth="1"/>
    <col min="8" max="8" width="9" style="3189" customWidth="1"/>
    <col min="9" max="10" width="10.625" style="3189" customWidth="1"/>
    <col min="11" max="11" width="14.375" style="3189" customWidth="1"/>
    <col min="12" max="12" width="6.25" style="3189" customWidth="1"/>
    <col min="13" max="13" width="145" style="3189" customWidth="1"/>
    <col min="14" max="14" width="7.875" style="3189" customWidth="1"/>
    <col min="15" max="256" width="9" style="3189"/>
    <col min="257" max="257" width="90.5" style="3189" customWidth="1"/>
    <col min="258" max="258" width="6.25" style="3189" customWidth="1"/>
    <col min="259" max="259" width="11.75" style="3189" customWidth="1"/>
    <col min="260" max="261" width="13.875" style="3189" customWidth="1"/>
    <col min="262" max="262" width="6.25" style="3189" customWidth="1"/>
    <col min="263" max="263" width="7.875" style="3189" customWidth="1"/>
    <col min="264" max="264" width="9" style="3189" customWidth="1"/>
    <col min="265" max="266" width="10.625" style="3189" customWidth="1"/>
    <col min="267" max="267" width="14.375" style="3189" customWidth="1"/>
    <col min="268" max="268" width="6.25" style="3189" customWidth="1"/>
    <col min="269" max="269" width="145" style="3189" customWidth="1"/>
    <col min="270" max="270" width="7.875" style="3189" customWidth="1"/>
    <col min="271" max="512" width="9" style="3189"/>
    <col min="513" max="513" width="90.5" style="3189" customWidth="1"/>
    <col min="514" max="514" width="6.25" style="3189" customWidth="1"/>
    <col min="515" max="515" width="11.75" style="3189" customWidth="1"/>
    <col min="516" max="517" width="13.875" style="3189" customWidth="1"/>
    <col min="518" max="518" width="6.25" style="3189" customWidth="1"/>
    <col min="519" max="519" width="7.875" style="3189" customWidth="1"/>
    <col min="520" max="520" width="9" style="3189" customWidth="1"/>
    <col min="521" max="522" width="10.625" style="3189" customWidth="1"/>
    <col min="523" max="523" width="14.375" style="3189" customWidth="1"/>
    <col min="524" max="524" width="6.25" style="3189" customWidth="1"/>
    <col min="525" max="525" width="145" style="3189" customWidth="1"/>
    <col min="526" max="526" width="7.875" style="3189" customWidth="1"/>
    <col min="527" max="768" width="9" style="3189"/>
    <col min="769" max="769" width="90.5" style="3189" customWidth="1"/>
    <col min="770" max="770" width="6.25" style="3189" customWidth="1"/>
    <col min="771" max="771" width="11.75" style="3189" customWidth="1"/>
    <col min="772" max="773" width="13.875" style="3189" customWidth="1"/>
    <col min="774" max="774" width="6.25" style="3189" customWidth="1"/>
    <col min="775" max="775" width="7.875" style="3189" customWidth="1"/>
    <col min="776" max="776" width="9" style="3189" customWidth="1"/>
    <col min="777" max="778" width="10.625" style="3189" customWidth="1"/>
    <col min="779" max="779" width="14.375" style="3189" customWidth="1"/>
    <col min="780" max="780" width="6.25" style="3189" customWidth="1"/>
    <col min="781" max="781" width="145" style="3189" customWidth="1"/>
    <col min="782" max="782" width="7.875" style="3189" customWidth="1"/>
    <col min="783" max="1024" width="9" style="3189"/>
    <col min="1025" max="1025" width="90.5" style="3189" customWidth="1"/>
    <col min="1026" max="1026" width="6.25" style="3189" customWidth="1"/>
    <col min="1027" max="1027" width="11.75" style="3189" customWidth="1"/>
    <col min="1028" max="1029" width="13.875" style="3189" customWidth="1"/>
    <col min="1030" max="1030" width="6.25" style="3189" customWidth="1"/>
    <col min="1031" max="1031" width="7.875" style="3189" customWidth="1"/>
    <col min="1032" max="1032" width="9" style="3189" customWidth="1"/>
    <col min="1033" max="1034" width="10.625" style="3189" customWidth="1"/>
    <col min="1035" max="1035" width="14.375" style="3189" customWidth="1"/>
    <col min="1036" max="1036" width="6.25" style="3189" customWidth="1"/>
    <col min="1037" max="1037" width="145" style="3189" customWidth="1"/>
    <col min="1038" max="1038" width="7.875" style="3189" customWidth="1"/>
    <col min="1039" max="1280" width="9" style="3189"/>
    <col min="1281" max="1281" width="90.5" style="3189" customWidth="1"/>
    <col min="1282" max="1282" width="6.25" style="3189" customWidth="1"/>
    <col min="1283" max="1283" width="11.75" style="3189" customWidth="1"/>
    <col min="1284" max="1285" width="13.875" style="3189" customWidth="1"/>
    <col min="1286" max="1286" width="6.25" style="3189" customWidth="1"/>
    <col min="1287" max="1287" width="7.875" style="3189" customWidth="1"/>
    <col min="1288" max="1288" width="9" style="3189" customWidth="1"/>
    <col min="1289" max="1290" width="10.625" style="3189" customWidth="1"/>
    <col min="1291" max="1291" width="14.375" style="3189" customWidth="1"/>
    <col min="1292" max="1292" width="6.25" style="3189" customWidth="1"/>
    <col min="1293" max="1293" width="145" style="3189" customWidth="1"/>
    <col min="1294" max="1294" width="7.875" style="3189" customWidth="1"/>
    <col min="1295" max="1536" width="9" style="3189"/>
    <col min="1537" max="1537" width="90.5" style="3189" customWidth="1"/>
    <col min="1538" max="1538" width="6.25" style="3189" customWidth="1"/>
    <col min="1539" max="1539" width="11.75" style="3189" customWidth="1"/>
    <col min="1540" max="1541" width="13.875" style="3189" customWidth="1"/>
    <col min="1542" max="1542" width="6.25" style="3189" customWidth="1"/>
    <col min="1543" max="1543" width="7.875" style="3189" customWidth="1"/>
    <col min="1544" max="1544" width="9" style="3189" customWidth="1"/>
    <col min="1545" max="1546" width="10.625" style="3189" customWidth="1"/>
    <col min="1547" max="1547" width="14.375" style="3189" customWidth="1"/>
    <col min="1548" max="1548" width="6.25" style="3189" customWidth="1"/>
    <col min="1549" max="1549" width="145" style="3189" customWidth="1"/>
    <col min="1550" max="1550" width="7.875" style="3189" customWidth="1"/>
    <col min="1551" max="1792" width="9" style="3189"/>
    <col min="1793" max="1793" width="90.5" style="3189" customWidth="1"/>
    <col min="1794" max="1794" width="6.25" style="3189" customWidth="1"/>
    <col min="1795" max="1795" width="11.75" style="3189" customWidth="1"/>
    <col min="1796" max="1797" width="13.875" style="3189" customWidth="1"/>
    <col min="1798" max="1798" width="6.25" style="3189" customWidth="1"/>
    <col min="1799" max="1799" width="7.875" style="3189" customWidth="1"/>
    <col min="1800" max="1800" width="9" style="3189" customWidth="1"/>
    <col min="1801" max="1802" width="10.625" style="3189" customWidth="1"/>
    <col min="1803" max="1803" width="14.375" style="3189" customWidth="1"/>
    <col min="1804" max="1804" width="6.25" style="3189" customWidth="1"/>
    <col min="1805" max="1805" width="145" style="3189" customWidth="1"/>
    <col min="1806" max="1806" width="7.875" style="3189" customWidth="1"/>
    <col min="1807" max="2048" width="9" style="3189"/>
    <col min="2049" max="2049" width="90.5" style="3189" customWidth="1"/>
    <col min="2050" max="2050" width="6.25" style="3189" customWidth="1"/>
    <col min="2051" max="2051" width="11.75" style="3189" customWidth="1"/>
    <col min="2052" max="2053" width="13.875" style="3189" customWidth="1"/>
    <col min="2054" max="2054" width="6.25" style="3189" customWidth="1"/>
    <col min="2055" max="2055" width="7.875" style="3189" customWidth="1"/>
    <col min="2056" max="2056" width="9" style="3189" customWidth="1"/>
    <col min="2057" max="2058" width="10.625" style="3189" customWidth="1"/>
    <col min="2059" max="2059" width="14.375" style="3189" customWidth="1"/>
    <col min="2060" max="2060" width="6.25" style="3189" customWidth="1"/>
    <col min="2061" max="2061" width="145" style="3189" customWidth="1"/>
    <col min="2062" max="2062" width="7.875" style="3189" customWidth="1"/>
    <col min="2063" max="2304" width="9" style="3189"/>
    <col min="2305" max="2305" width="90.5" style="3189" customWidth="1"/>
    <col min="2306" max="2306" width="6.25" style="3189" customWidth="1"/>
    <col min="2307" max="2307" width="11.75" style="3189" customWidth="1"/>
    <col min="2308" max="2309" width="13.875" style="3189" customWidth="1"/>
    <col min="2310" max="2310" width="6.25" style="3189" customWidth="1"/>
    <col min="2311" max="2311" width="7.875" style="3189" customWidth="1"/>
    <col min="2312" max="2312" width="9" style="3189" customWidth="1"/>
    <col min="2313" max="2314" width="10.625" style="3189" customWidth="1"/>
    <col min="2315" max="2315" width="14.375" style="3189" customWidth="1"/>
    <col min="2316" max="2316" width="6.25" style="3189" customWidth="1"/>
    <col min="2317" max="2317" width="145" style="3189" customWidth="1"/>
    <col min="2318" max="2318" width="7.875" style="3189" customWidth="1"/>
    <col min="2319" max="2560" width="9" style="3189"/>
    <col min="2561" max="2561" width="90.5" style="3189" customWidth="1"/>
    <col min="2562" max="2562" width="6.25" style="3189" customWidth="1"/>
    <col min="2563" max="2563" width="11.75" style="3189" customWidth="1"/>
    <col min="2564" max="2565" width="13.875" style="3189" customWidth="1"/>
    <col min="2566" max="2566" width="6.25" style="3189" customWidth="1"/>
    <col min="2567" max="2567" width="7.875" style="3189" customWidth="1"/>
    <col min="2568" max="2568" width="9" style="3189" customWidth="1"/>
    <col min="2569" max="2570" width="10.625" style="3189" customWidth="1"/>
    <col min="2571" max="2571" width="14.375" style="3189" customWidth="1"/>
    <col min="2572" max="2572" width="6.25" style="3189" customWidth="1"/>
    <col min="2573" max="2573" width="145" style="3189" customWidth="1"/>
    <col min="2574" max="2574" width="7.875" style="3189" customWidth="1"/>
    <col min="2575" max="2816" width="9" style="3189"/>
    <col min="2817" max="2817" width="90.5" style="3189" customWidth="1"/>
    <col min="2818" max="2818" width="6.25" style="3189" customWidth="1"/>
    <col min="2819" max="2819" width="11.75" style="3189" customWidth="1"/>
    <col min="2820" max="2821" width="13.875" style="3189" customWidth="1"/>
    <col min="2822" max="2822" width="6.25" style="3189" customWidth="1"/>
    <col min="2823" max="2823" width="7.875" style="3189" customWidth="1"/>
    <col min="2824" max="2824" width="9" style="3189" customWidth="1"/>
    <col min="2825" max="2826" width="10.625" style="3189" customWidth="1"/>
    <col min="2827" max="2827" width="14.375" style="3189" customWidth="1"/>
    <col min="2828" max="2828" width="6.25" style="3189" customWidth="1"/>
    <col min="2829" max="2829" width="145" style="3189" customWidth="1"/>
    <col min="2830" max="2830" width="7.875" style="3189" customWidth="1"/>
    <col min="2831" max="3072" width="9" style="3189"/>
    <col min="3073" max="3073" width="90.5" style="3189" customWidth="1"/>
    <col min="3074" max="3074" width="6.25" style="3189" customWidth="1"/>
    <col min="3075" max="3075" width="11.75" style="3189" customWidth="1"/>
    <col min="3076" max="3077" width="13.875" style="3189" customWidth="1"/>
    <col min="3078" max="3078" width="6.25" style="3189" customWidth="1"/>
    <col min="3079" max="3079" width="7.875" style="3189" customWidth="1"/>
    <col min="3080" max="3080" width="9" style="3189" customWidth="1"/>
    <col min="3081" max="3082" width="10.625" style="3189" customWidth="1"/>
    <col min="3083" max="3083" width="14.375" style="3189" customWidth="1"/>
    <col min="3084" max="3084" width="6.25" style="3189" customWidth="1"/>
    <col min="3085" max="3085" width="145" style="3189" customWidth="1"/>
    <col min="3086" max="3086" width="7.875" style="3189" customWidth="1"/>
    <col min="3087" max="3328" width="9" style="3189"/>
    <col min="3329" max="3329" width="90.5" style="3189" customWidth="1"/>
    <col min="3330" max="3330" width="6.25" style="3189" customWidth="1"/>
    <col min="3331" max="3331" width="11.75" style="3189" customWidth="1"/>
    <col min="3332" max="3333" width="13.875" style="3189" customWidth="1"/>
    <col min="3334" max="3334" width="6.25" style="3189" customWidth="1"/>
    <col min="3335" max="3335" width="7.875" style="3189" customWidth="1"/>
    <col min="3336" max="3336" width="9" style="3189" customWidth="1"/>
    <col min="3337" max="3338" width="10.625" style="3189" customWidth="1"/>
    <col min="3339" max="3339" width="14.375" style="3189" customWidth="1"/>
    <col min="3340" max="3340" width="6.25" style="3189" customWidth="1"/>
    <col min="3341" max="3341" width="145" style="3189" customWidth="1"/>
    <col min="3342" max="3342" width="7.875" style="3189" customWidth="1"/>
    <col min="3343" max="3584" width="9" style="3189"/>
    <col min="3585" max="3585" width="90.5" style="3189" customWidth="1"/>
    <col min="3586" max="3586" width="6.25" style="3189" customWidth="1"/>
    <col min="3587" max="3587" width="11.75" style="3189" customWidth="1"/>
    <col min="3588" max="3589" width="13.875" style="3189" customWidth="1"/>
    <col min="3590" max="3590" width="6.25" style="3189" customWidth="1"/>
    <col min="3591" max="3591" width="7.875" style="3189" customWidth="1"/>
    <col min="3592" max="3592" width="9" style="3189" customWidth="1"/>
    <col min="3593" max="3594" width="10.625" style="3189" customWidth="1"/>
    <col min="3595" max="3595" width="14.375" style="3189" customWidth="1"/>
    <col min="3596" max="3596" width="6.25" style="3189" customWidth="1"/>
    <col min="3597" max="3597" width="145" style="3189" customWidth="1"/>
    <col min="3598" max="3598" width="7.875" style="3189" customWidth="1"/>
    <col min="3599" max="3840" width="9" style="3189"/>
    <col min="3841" max="3841" width="90.5" style="3189" customWidth="1"/>
    <col min="3842" max="3842" width="6.25" style="3189" customWidth="1"/>
    <col min="3843" max="3843" width="11.75" style="3189" customWidth="1"/>
    <col min="3844" max="3845" width="13.875" style="3189" customWidth="1"/>
    <col min="3846" max="3846" width="6.25" style="3189" customWidth="1"/>
    <col min="3847" max="3847" width="7.875" style="3189" customWidth="1"/>
    <col min="3848" max="3848" width="9" style="3189" customWidth="1"/>
    <col min="3849" max="3850" width="10.625" style="3189" customWidth="1"/>
    <col min="3851" max="3851" width="14.375" style="3189" customWidth="1"/>
    <col min="3852" max="3852" width="6.25" style="3189" customWidth="1"/>
    <col min="3853" max="3853" width="145" style="3189" customWidth="1"/>
    <col min="3854" max="3854" width="7.875" style="3189" customWidth="1"/>
    <col min="3855" max="4096" width="9" style="3189"/>
    <col min="4097" max="4097" width="90.5" style="3189" customWidth="1"/>
    <col min="4098" max="4098" width="6.25" style="3189" customWidth="1"/>
    <col min="4099" max="4099" width="11.75" style="3189" customWidth="1"/>
    <col min="4100" max="4101" width="13.875" style="3189" customWidth="1"/>
    <col min="4102" max="4102" width="6.25" style="3189" customWidth="1"/>
    <col min="4103" max="4103" width="7.875" style="3189" customWidth="1"/>
    <col min="4104" max="4104" width="9" style="3189" customWidth="1"/>
    <col min="4105" max="4106" width="10.625" style="3189" customWidth="1"/>
    <col min="4107" max="4107" width="14.375" style="3189" customWidth="1"/>
    <col min="4108" max="4108" width="6.25" style="3189" customWidth="1"/>
    <col min="4109" max="4109" width="145" style="3189" customWidth="1"/>
    <col min="4110" max="4110" width="7.875" style="3189" customWidth="1"/>
    <col min="4111" max="4352" width="9" style="3189"/>
    <col min="4353" max="4353" width="90.5" style="3189" customWidth="1"/>
    <col min="4354" max="4354" width="6.25" style="3189" customWidth="1"/>
    <col min="4355" max="4355" width="11.75" style="3189" customWidth="1"/>
    <col min="4356" max="4357" width="13.875" style="3189" customWidth="1"/>
    <col min="4358" max="4358" width="6.25" style="3189" customWidth="1"/>
    <col min="4359" max="4359" width="7.875" style="3189" customWidth="1"/>
    <col min="4360" max="4360" width="9" style="3189" customWidth="1"/>
    <col min="4361" max="4362" width="10.625" style="3189" customWidth="1"/>
    <col min="4363" max="4363" width="14.375" style="3189" customWidth="1"/>
    <col min="4364" max="4364" width="6.25" style="3189" customWidth="1"/>
    <col min="4365" max="4365" width="145" style="3189" customWidth="1"/>
    <col min="4366" max="4366" width="7.875" style="3189" customWidth="1"/>
    <col min="4367" max="4608" width="9" style="3189"/>
    <col min="4609" max="4609" width="90.5" style="3189" customWidth="1"/>
    <col min="4610" max="4610" width="6.25" style="3189" customWidth="1"/>
    <col min="4611" max="4611" width="11.75" style="3189" customWidth="1"/>
    <col min="4612" max="4613" width="13.875" style="3189" customWidth="1"/>
    <col min="4614" max="4614" width="6.25" style="3189" customWidth="1"/>
    <col min="4615" max="4615" width="7.875" style="3189" customWidth="1"/>
    <col min="4616" max="4616" width="9" style="3189" customWidth="1"/>
    <col min="4617" max="4618" width="10.625" style="3189" customWidth="1"/>
    <col min="4619" max="4619" width="14.375" style="3189" customWidth="1"/>
    <col min="4620" max="4620" width="6.25" style="3189" customWidth="1"/>
    <col min="4621" max="4621" width="145" style="3189" customWidth="1"/>
    <col min="4622" max="4622" width="7.875" style="3189" customWidth="1"/>
    <col min="4623" max="4864" width="9" style="3189"/>
    <col min="4865" max="4865" width="90.5" style="3189" customWidth="1"/>
    <col min="4866" max="4866" width="6.25" style="3189" customWidth="1"/>
    <col min="4867" max="4867" width="11.75" style="3189" customWidth="1"/>
    <col min="4868" max="4869" width="13.875" style="3189" customWidth="1"/>
    <col min="4870" max="4870" width="6.25" style="3189" customWidth="1"/>
    <col min="4871" max="4871" width="7.875" style="3189" customWidth="1"/>
    <col min="4872" max="4872" width="9" style="3189" customWidth="1"/>
    <col min="4873" max="4874" width="10.625" style="3189" customWidth="1"/>
    <col min="4875" max="4875" width="14.375" style="3189" customWidth="1"/>
    <col min="4876" max="4876" width="6.25" style="3189" customWidth="1"/>
    <col min="4877" max="4877" width="145" style="3189" customWidth="1"/>
    <col min="4878" max="4878" width="7.875" style="3189" customWidth="1"/>
    <col min="4879" max="5120" width="9" style="3189"/>
    <col min="5121" max="5121" width="90.5" style="3189" customWidth="1"/>
    <col min="5122" max="5122" width="6.25" style="3189" customWidth="1"/>
    <col min="5123" max="5123" width="11.75" style="3189" customWidth="1"/>
    <col min="5124" max="5125" width="13.875" style="3189" customWidth="1"/>
    <col min="5126" max="5126" width="6.25" style="3189" customWidth="1"/>
    <col min="5127" max="5127" width="7.875" style="3189" customWidth="1"/>
    <col min="5128" max="5128" width="9" style="3189" customWidth="1"/>
    <col min="5129" max="5130" width="10.625" style="3189" customWidth="1"/>
    <col min="5131" max="5131" width="14.375" style="3189" customWidth="1"/>
    <col min="5132" max="5132" width="6.25" style="3189" customWidth="1"/>
    <col min="5133" max="5133" width="145" style="3189" customWidth="1"/>
    <col min="5134" max="5134" width="7.875" style="3189" customWidth="1"/>
    <col min="5135" max="5376" width="9" style="3189"/>
    <col min="5377" max="5377" width="90.5" style="3189" customWidth="1"/>
    <col min="5378" max="5378" width="6.25" style="3189" customWidth="1"/>
    <col min="5379" max="5379" width="11.75" style="3189" customWidth="1"/>
    <col min="5380" max="5381" width="13.875" style="3189" customWidth="1"/>
    <col min="5382" max="5382" width="6.25" style="3189" customWidth="1"/>
    <col min="5383" max="5383" width="7.875" style="3189" customWidth="1"/>
    <col min="5384" max="5384" width="9" style="3189" customWidth="1"/>
    <col min="5385" max="5386" width="10.625" style="3189" customWidth="1"/>
    <col min="5387" max="5387" width="14.375" style="3189" customWidth="1"/>
    <col min="5388" max="5388" width="6.25" style="3189" customWidth="1"/>
    <col min="5389" max="5389" width="145" style="3189" customWidth="1"/>
    <col min="5390" max="5390" width="7.875" style="3189" customWidth="1"/>
    <col min="5391" max="5632" width="9" style="3189"/>
    <col min="5633" max="5633" width="90.5" style="3189" customWidth="1"/>
    <col min="5634" max="5634" width="6.25" style="3189" customWidth="1"/>
    <col min="5635" max="5635" width="11.75" style="3189" customWidth="1"/>
    <col min="5636" max="5637" width="13.875" style="3189" customWidth="1"/>
    <col min="5638" max="5638" width="6.25" style="3189" customWidth="1"/>
    <col min="5639" max="5639" width="7.875" style="3189" customWidth="1"/>
    <col min="5640" max="5640" width="9" style="3189" customWidth="1"/>
    <col min="5641" max="5642" width="10.625" style="3189" customWidth="1"/>
    <col min="5643" max="5643" width="14.375" style="3189" customWidth="1"/>
    <col min="5644" max="5644" width="6.25" style="3189" customWidth="1"/>
    <col min="5645" max="5645" width="145" style="3189" customWidth="1"/>
    <col min="5646" max="5646" width="7.875" style="3189" customWidth="1"/>
    <col min="5647" max="5888" width="9" style="3189"/>
    <col min="5889" max="5889" width="90.5" style="3189" customWidth="1"/>
    <col min="5890" max="5890" width="6.25" style="3189" customWidth="1"/>
    <col min="5891" max="5891" width="11.75" style="3189" customWidth="1"/>
    <col min="5892" max="5893" width="13.875" style="3189" customWidth="1"/>
    <col min="5894" max="5894" width="6.25" style="3189" customWidth="1"/>
    <col min="5895" max="5895" width="7.875" style="3189" customWidth="1"/>
    <col min="5896" max="5896" width="9" style="3189" customWidth="1"/>
    <col min="5897" max="5898" width="10.625" style="3189" customWidth="1"/>
    <col min="5899" max="5899" width="14.375" style="3189" customWidth="1"/>
    <col min="5900" max="5900" width="6.25" style="3189" customWidth="1"/>
    <col min="5901" max="5901" width="145" style="3189" customWidth="1"/>
    <col min="5902" max="5902" width="7.875" style="3189" customWidth="1"/>
    <col min="5903" max="6144" width="9" style="3189"/>
    <col min="6145" max="6145" width="90.5" style="3189" customWidth="1"/>
    <col min="6146" max="6146" width="6.25" style="3189" customWidth="1"/>
    <col min="6147" max="6147" width="11.75" style="3189" customWidth="1"/>
    <col min="6148" max="6149" width="13.875" style="3189" customWidth="1"/>
    <col min="6150" max="6150" width="6.25" style="3189" customWidth="1"/>
    <col min="6151" max="6151" width="7.875" style="3189" customWidth="1"/>
    <col min="6152" max="6152" width="9" style="3189" customWidth="1"/>
    <col min="6153" max="6154" width="10.625" style="3189" customWidth="1"/>
    <col min="6155" max="6155" width="14.375" style="3189" customWidth="1"/>
    <col min="6156" max="6156" width="6.25" style="3189" customWidth="1"/>
    <col min="6157" max="6157" width="145" style="3189" customWidth="1"/>
    <col min="6158" max="6158" width="7.875" style="3189" customWidth="1"/>
    <col min="6159" max="6400" width="9" style="3189"/>
    <col min="6401" max="6401" width="90.5" style="3189" customWidth="1"/>
    <col min="6402" max="6402" width="6.25" style="3189" customWidth="1"/>
    <col min="6403" max="6403" width="11.75" style="3189" customWidth="1"/>
    <col min="6404" max="6405" width="13.875" style="3189" customWidth="1"/>
    <col min="6406" max="6406" width="6.25" style="3189" customWidth="1"/>
    <col min="6407" max="6407" width="7.875" style="3189" customWidth="1"/>
    <col min="6408" max="6408" width="9" style="3189" customWidth="1"/>
    <col min="6409" max="6410" width="10.625" style="3189" customWidth="1"/>
    <col min="6411" max="6411" width="14.375" style="3189" customWidth="1"/>
    <col min="6412" max="6412" width="6.25" style="3189" customWidth="1"/>
    <col min="6413" max="6413" width="145" style="3189" customWidth="1"/>
    <col min="6414" max="6414" width="7.875" style="3189" customWidth="1"/>
    <col min="6415" max="6656" width="9" style="3189"/>
    <col min="6657" max="6657" width="90.5" style="3189" customWidth="1"/>
    <col min="6658" max="6658" width="6.25" style="3189" customWidth="1"/>
    <col min="6659" max="6659" width="11.75" style="3189" customWidth="1"/>
    <col min="6660" max="6661" width="13.875" style="3189" customWidth="1"/>
    <col min="6662" max="6662" width="6.25" style="3189" customWidth="1"/>
    <col min="6663" max="6663" width="7.875" style="3189" customWidth="1"/>
    <col min="6664" max="6664" width="9" style="3189" customWidth="1"/>
    <col min="6665" max="6666" width="10.625" style="3189" customWidth="1"/>
    <col min="6667" max="6667" width="14.375" style="3189" customWidth="1"/>
    <col min="6668" max="6668" width="6.25" style="3189" customWidth="1"/>
    <col min="6669" max="6669" width="145" style="3189" customWidth="1"/>
    <col min="6670" max="6670" width="7.875" style="3189" customWidth="1"/>
    <col min="6671" max="6912" width="9" style="3189"/>
    <col min="6913" max="6913" width="90.5" style="3189" customWidth="1"/>
    <col min="6914" max="6914" width="6.25" style="3189" customWidth="1"/>
    <col min="6915" max="6915" width="11.75" style="3189" customWidth="1"/>
    <col min="6916" max="6917" width="13.875" style="3189" customWidth="1"/>
    <col min="6918" max="6918" width="6.25" style="3189" customWidth="1"/>
    <col min="6919" max="6919" width="7.875" style="3189" customWidth="1"/>
    <col min="6920" max="6920" width="9" style="3189" customWidth="1"/>
    <col min="6921" max="6922" width="10.625" style="3189" customWidth="1"/>
    <col min="6923" max="6923" width="14.375" style="3189" customWidth="1"/>
    <col min="6924" max="6924" width="6.25" style="3189" customWidth="1"/>
    <col min="6925" max="6925" width="145" style="3189" customWidth="1"/>
    <col min="6926" max="6926" width="7.875" style="3189" customWidth="1"/>
    <col min="6927" max="7168" width="9" style="3189"/>
    <col min="7169" max="7169" width="90.5" style="3189" customWidth="1"/>
    <col min="7170" max="7170" width="6.25" style="3189" customWidth="1"/>
    <col min="7171" max="7171" width="11.75" style="3189" customWidth="1"/>
    <col min="7172" max="7173" width="13.875" style="3189" customWidth="1"/>
    <col min="7174" max="7174" width="6.25" style="3189" customWidth="1"/>
    <col min="7175" max="7175" width="7.875" style="3189" customWidth="1"/>
    <col min="7176" max="7176" width="9" style="3189" customWidth="1"/>
    <col min="7177" max="7178" width="10.625" style="3189" customWidth="1"/>
    <col min="7179" max="7179" width="14.375" style="3189" customWidth="1"/>
    <col min="7180" max="7180" width="6.25" style="3189" customWidth="1"/>
    <col min="7181" max="7181" width="145" style="3189" customWidth="1"/>
    <col min="7182" max="7182" width="7.875" style="3189" customWidth="1"/>
    <col min="7183" max="7424" width="9" style="3189"/>
    <col min="7425" max="7425" width="90.5" style="3189" customWidth="1"/>
    <col min="7426" max="7426" width="6.25" style="3189" customWidth="1"/>
    <col min="7427" max="7427" width="11.75" style="3189" customWidth="1"/>
    <col min="7428" max="7429" width="13.875" style="3189" customWidth="1"/>
    <col min="7430" max="7430" width="6.25" style="3189" customWidth="1"/>
    <col min="7431" max="7431" width="7.875" style="3189" customWidth="1"/>
    <col min="7432" max="7432" width="9" style="3189" customWidth="1"/>
    <col min="7433" max="7434" width="10.625" style="3189" customWidth="1"/>
    <col min="7435" max="7435" width="14.375" style="3189" customWidth="1"/>
    <col min="7436" max="7436" width="6.25" style="3189" customWidth="1"/>
    <col min="7437" max="7437" width="145" style="3189" customWidth="1"/>
    <col min="7438" max="7438" width="7.875" style="3189" customWidth="1"/>
    <col min="7439" max="7680" width="9" style="3189"/>
    <col min="7681" max="7681" width="90.5" style="3189" customWidth="1"/>
    <col min="7682" max="7682" width="6.25" style="3189" customWidth="1"/>
    <col min="7683" max="7683" width="11.75" style="3189" customWidth="1"/>
    <col min="7684" max="7685" width="13.875" style="3189" customWidth="1"/>
    <col min="7686" max="7686" width="6.25" style="3189" customWidth="1"/>
    <col min="7687" max="7687" width="7.875" style="3189" customWidth="1"/>
    <col min="7688" max="7688" width="9" style="3189" customWidth="1"/>
    <col min="7689" max="7690" width="10.625" style="3189" customWidth="1"/>
    <col min="7691" max="7691" width="14.375" style="3189" customWidth="1"/>
    <col min="7692" max="7692" width="6.25" style="3189" customWidth="1"/>
    <col min="7693" max="7693" width="145" style="3189" customWidth="1"/>
    <col min="7694" max="7694" width="7.875" style="3189" customWidth="1"/>
    <col min="7695" max="7936" width="9" style="3189"/>
    <col min="7937" max="7937" width="90.5" style="3189" customWidth="1"/>
    <col min="7938" max="7938" width="6.25" style="3189" customWidth="1"/>
    <col min="7939" max="7939" width="11.75" style="3189" customWidth="1"/>
    <col min="7940" max="7941" width="13.875" style="3189" customWidth="1"/>
    <col min="7942" max="7942" width="6.25" style="3189" customWidth="1"/>
    <col min="7943" max="7943" width="7.875" style="3189" customWidth="1"/>
    <col min="7944" max="7944" width="9" style="3189" customWidth="1"/>
    <col min="7945" max="7946" width="10.625" style="3189" customWidth="1"/>
    <col min="7947" max="7947" width="14.375" style="3189" customWidth="1"/>
    <col min="7948" max="7948" width="6.25" style="3189" customWidth="1"/>
    <col min="7949" max="7949" width="145" style="3189" customWidth="1"/>
    <col min="7950" max="7950" width="7.875" style="3189" customWidth="1"/>
    <col min="7951" max="8192" width="9" style="3189"/>
    <col min="8193" max="8193" width="90.5" style="3189" customWidth="1"/>
    <col min="8194" max="8194" width="6.25" style="3189" customWidth="1"/>
    <col min="8195" max="8195" width="11.75" style="3189" customWidth="1"/>
    <col min="8196" max="8197" width="13.875" style="3189" customWidth="1"/>
    <col min="8198" max="8198" width="6.25" style="3189" customWidth="1"/>
    <col min="8199" max="8199" width="7.875" style="3189" customWidth="1"/>
    <col min="8200" max="8200" width="9" style="3189" customWidth="1"/>
    <col min="8201" max="8202" width="10.625" style="3189" customWidth="1"/>
    <col min="8203" max="8203" width="14.375" style="3189" customWidth="1"/>
    <col min="8204" max="8204" width="6.25" style="3189" customWidth="1"/>
    <col min="8205" max="8205" width="145" style="3189" customWidth="1"/>
    <col min="8206" max="8206" width="7.875" style="3189" customWidth="1"/>
    <col min="8207" max="8448" width="9" style="3189"/>
    <col min="8449" max="8449" width="90.5" style="3189" customWidth="1"/>
    <col min="8450" max="8450" width="6.25" style="3189" customWidth="1"/>
    <col min="8451" max="8451" width="11.75" style="3189" customWidth="1"/>
    <col min="8452" max="8453" width="13.875" style="3189" customWidth="1"/>
    <col min="8454" max="8454" width="6.25" style="3189" customWidth="1"/>
    <col min="8455" max="8455" width="7.875" style="3189" customWidth="1"/>
    <col min="8456" max="8456" width="9" style="3189" customWidth="1"/>
    <col min="8457" max="8458" width="10.625" style="3189" customWidth="1"/>
    <col min="8459" max="8459" width="14.375" style="3189" customWidth="1"/>
    <col min="8460" max="8460" width="6.25" style="3189" customWidth="1"/>
    <col min="8461" max="8461" width="145" style="3189" customWidth="1"/>
    <col min="8462" max="8462" width="7.875" style="3189" customWidth="1"/>
    <col min="8463" max="8704" width="9" style="3189"/>
    <col min="8705" max="8705" width="90.5" style="3189" customWidth="1"/>
    <col min="8706" max="8706" width="6.25" style="3189" customWidth="1"/>
    <col min="8707" max="8707" width="11.75" style="3189" customWidth="1"/>
    <col min="8708" max="8709" width="13.875" style="3189" customWidth="1"/>
    <col min="8710" max="8710" width="6.25" style="3189" customWidth="1"/>
    <col min="8711" max="8711" width="7.875" style="3189" customWidth="1"/>
    <col min="8712" max="8712" width="9" style="3189" customWidth="1"/>
    <col min="8713" max="8714" width="10.625" style="3189" customWidth="1"/>
    <col min="8715" max="8715" width="14.375" style="3189" customWidth="1"/>
    <col min="8716" max="8716" width="6.25" style="3189" customWidth="1"/>
    <col min="8717" max="8717" width="145" style="3189" customWidth="1"/>
    <col min="8718" max="8718" width="7.875" style="3189" customWidth="1"/>
    <col min="8719" max="8960" width="9" style="3189"/>
    <col min="8961" max="8961" width="90.5" style="3189" customWidth="1"/>
    <col min="8962" max="8962" width="6.25" style="3189" customWidth="1"/>
    <col min="8963" max="8963" width="11.75" style="3189" customWidth="1"/>
    <col min="8964" max="8965" width="13.875" style="3189" customWidth="1"/>
    <col min="8966" max="8966" width="6.25" style="3189" customWidth="1"/>
    <col min="8967" max="8967" width="7.875" style="3189" customWidth="1"/>
    <col min="8968" max="8968" width="9" style="3189" customWidth="1"/>
    <col min="8969" max="8970" width="10.625" style="3189" customWidth="1"/>
    <col min="8971" max="8971" width="14.375" style="3189" customWidth="1"/>
    <col min="8972" max="8972" width="6.25" style="3189" customWidth="1"/>
    <col min="8973" max="8973" width="145" style="3189" customWidth="1"/>
    <col min="8974" max="8974" width="7.875" style="3189" customWidth="1"/>
    <col min="8975" max="9216" width="9" style="3189"/>
    <col min="9217" max="9217" width="90.5" style="3189" customWidth="1"/>
    <col min="9218" max="9218" width="6.25" style="3189" customWidth="1"/>
    <col min="9219" max="9219" width="11.75" style="3189" customWidth="1"/>
    <col min="9220" max="9221" width="13.875" style="3189" customWidth="1"/>
    <col min="9222" max="9222" width="6.25" style="3189" customWidth="1"/>
    <col min="9223" max="9223" width="7.875" style="3189" customWidth="1"/>
    <col min="9224" max="9224" width="9" style="3189" customWidth="1"/>
    <col min="9225" max="9226" width="10.625" style="3189" customWidth="1"/>
    <col min="9227" max="9227" width="14.375" style="3189" customWidth="1"/>
    <col min="9228" max="9228" width="6.25" style="3189" customWidth="1"/>
    <col min="9229" max="9229" width="145" style="3189" customWidth="1"/>
    <col min="9230" max="9230" width="7.875" style="3189" customWidth="1"/>
    <col min="9231" max="9472" width="9" style="3189"/>
    <col min="9473" max="9473" width="90.5" style="3189" customWidth="1"/>
    <col min="9474" max="9474" width="6.25" style="3189" customWidth="1"/>
    <col min="9475" max="9475" width="11.75" style="3189" customWidth="1"/>
    <col min="9476" max="9477" width="13.875" style="3189" customWidth="1"/>
    <col min="9478" max="9478" width="6.25" style="3189" customWidth="1"/>
    <col min="9479" max="9479" width="7.875" style="3189" customWidth="1"/>
    <col min="9480" max="9480" width="9" style="3189" customWidth="1"/>
    <col min="9481" max="9482" width="10.625" style="3189" customWidth="1"/>
    <col min="9483" max="9483" width="14.375" style="3189" customWidth="1"/>
    <col min="9484" max="9484" width="6.25" style="3189" customWidth="1"/>
    <col min="9485" max="9485" width="145" style="3189" customWidth="1"/>
    <col min="9486" max="9486" width="7.875" style="3189" customWidth="1"/>
    <col min="9487" max="9728" width="9" style="3189"/>
    <col min="9729" max="9729" width="90.5" style="3189" customWidth="1"/>
    <col min="9730" max="9730" width="6.25" style="3189" customWidth="1"/>
    <col min="9731" max="9731" width="11.75" style="3189" customWidth="1"/>
    <col min="9732" max="9733" width="13.875" style="3189" customWidth="1"/>
    <col min="9734" max="9734" width="6.25" style="3189" customWidth="1"/>
    <col min="9735" max="9735" width="7.875" style="3189" customWidth="1"/>
    <col min="9736" max="9736" width="9" style="3189" customWidth="1"/>
    <col min="9737" max="9738" width="10.625" style="3189" customWidth="1"/>
    <col min="9739" max="9739" width="14.375" style="3189" customWidth="1"/>
    <col min="9740" max="9740" width="6.25" style="3189" customWidth="1"/>
    <col min="9741" max="9741" width="145" style="3189" customWidth="1"/>
    <col min="9742" max="9742" width="7.875" style="3189" customWidth="1"/>
    <col min="9743" max="9984" width="9" style="3189"/>
    <col min="9985" max="9985" width="90.5" style="3189" customWidth="1"/>
    <col min="9986" max="9986" width="6.25" style="3189" customWidth="1"/>
    <col min="9987" max="9987" width="11.75" style="3189" customWidth="1"/>
    <col min="9988" max="9989" width="13.875" style="3189" customWidth="1"/>
    <col min="9990" max="9990" width="6.25" style="3189" customWidth="1"/>
    <col min="9991" max="9991" width="7.875" style="3189" customWidth="1"/>
    <col min="9992" max="9992" width="9" style="3189" customWidth="1"/>
    <col min="9993" max="9994" width="10.625" style="3189" customWidth="1"/>
    <col min="9995" max="9995" width="14.375" style="3189" customWidth="1"/>
    <col min="9996" max="9996" width="6.25" style="3189" customWidth="1"/>
    <col min="9997" max="9997" width="145" style="3189" customWidth="1"/>
    <col min="9998" max="9998" width="7.875" style="3189" customWidth="1"/>
    <col min="9999" max="10240" width="9" style="3189"/>
    <col min="10241" max="10241" width="90.5" style="3189" customWidth="1"/>
    <col min="10242" max="10242" width="6.25" style="3189" customWidth="1"/>
    <col min="10243" max="10243" width="11.75" style="3189" customWidth="1"/>
    <col min="10244" max="10245" width="13.875" style="3189" customWidth="1"/>
    <col min="10246" max="10246" width="6.25" style="3189" customWidth="1"/>
    <col min="10247" max="10247" width="7.875" style="3189" customWidth="1"/>
    <col min="10248" max="10248" width="9" style="3189" customWidth="1"/>
    <col min="10249" max="10250" width="10.625" style="3189" customWidth="1"/>
    <col min="10251" max="10251" width="14.375" style="3189" customWidth="1"/>
    <col min="10252" max="10252" width="6.25" style="3189" customWidth="1"/>
    <col min="10253" max="10253" width="145" style="3189" customWidth="1"/>
    <col min="10254" max="10254" width="7.875" style="3189" customWidth="1"/>
    <col min="10255" max="10496" width="9" style="3189"/>
    <col min="10497" max="10497" width="90.5" style="3189" customWidth="1"/>
    <col min="10498" max="10498" width="6.25" style="3189" customWidth="1"/>
    <col min="10499" max="10499" width="11.75" style="3189" customWidth="1"/>
    <col min="10500" max="10501" width="13.875" style="3189" customWidth="1"/>
    <col min="10502" max="10502" width="6.25" style="3189" customWidth="1"/>
    <col min="10503" max="10503" width="7.875" style="3189" customWidth="1"/>
    <col min="10504" max="10504" width="9" style="3189" customWidth="1"/>
    <col min="10505" max="10506" width="10.625" style="3189" customWidth="1"/>
    <col min="10507" max="10507" width="14.375" style="3189" customWidth="1"/>
    <col min="10508" max="10508" width="6.25" style="3189" customWidth="1"/>
    <col min="10509" max="10509" width="145" style="3189" customWidth="1"/>
    <col min="10510" max="10510" width="7.875" style="3189" customWidth="1"/>
    <col min="10511" max="10752" width="9" style="3189"/>
    <col min="10753" max="10753" width="90.5" style="3189" customWidth="1"/>
    <col min="10754" max="10754" width="6.25" style="3189" customWidth="1"/>
    <col min="10755" max="10755" width="11.75" style="3189" customWidth="1"/>
    <col min="10756" max="10757" width="13.875" style="3189" customWidth="1"/>
    <col min="10758" max="10758" width="6.25" style="3189" customWidth="1"/>
    <col min="10759" max="10759" width="7.875" style="3189" customWidth="1"/>
    <col min="10760" max="10760" width="9" style="3189" customWidth="1"/>
    <col min="10761" max="10762" width="10.625" style="3189" customWidth="1"/>
    <col min="10763" max="10763" width="14.375" style="3189" customWidth="1"/>
    <col min="10764" max="10764" width="6.25" style="3189" customWidth="1"/>
    <col min="10765" max="10765" width="145" style="3189" customWidth="1"/>
    <col min="10766" max="10766" width="7.875" style="3189" customWidth="1"/>
    <col min="10767" max="11008" width="9" style="3189"/>
    <col min="11009" max="11009" width="90.5" style="3189" customWidth="1"/>
    <col min="11010" max="11010" width="6.25" style="3189" customWidth="1"/>
    <col min="11011" max="11011" width="11.75" style="3189" customWidth="1"/>
    <col min="11012" max="11013" width="13.875" style="3189" customWidth="1"/>
    <col min="11014" max="11014" width="6.25" style="3189" customWidth="1"/>
    <col min="11015" max="11015" width="7.875" style="3189" customWidth="1"/>
    <col min="11016" max="11016" width="9" style="3189" customWidth="1"/>
    <col min="11017" max="11018" width="10.625" style="3189" customWidth="1"/>
    <col min="11019" max="11019" width="14.375" style="3189" customWidth="1"/>
    <col min="11020" max="11020" width="6.25" style="3189" customWidth="1"/>
    <col min="11021" max="11021" width="145" style="3189" customWidth="1"/>
    <col min="11022" max="11022" width="7.875" style="3189" customWidth="1"/>
    <col min="11023" max="11264" width="9" style="3189"/>
    <col min="11265" max="11265" width="90.5" style="3189" customWidth="1"/>
    <col min="11266" max="11266" width="6.25" style="3189" customWidth="1"/>
    <col min="11267" max="11267" width="11.75" style="3189" customWidth="1"/>
    <col min="11268" max="11269" width="13.875" style="3189" customWidth="1"/>
    <col min="11270" max="11270" width="6.25" style="3189" customWidth="1"/>
    <col min="11271" max="11271" width="7.875" style="3189" customWidth="1"/>
    <col min="11272" max="11272" width="9" style="3189" customWidth="1"/>
    <col min="11273" max="11274" width="10.625" style="3189" customWidth="1"/>
    <col min="11275" max="11275" width="14.375" style="3189" customWidth="1"/>
    <col min="11276" max="11276" width="6.25" style="3189" customWidth="1"/>
    <col min="11277" max="11277" width="145" style="3189" customWidth="1"/>
    <col min="11278" max="11278" width="7.875" style="3189" customWidth="1"/>
    <col min="11279" max="11520" width="9" style="3189"/>
    <col min="11521" max="11521" width="90.5" style="3189" customWidth="1"/>
    <col min="11522" max="11522" width="6.25" style="3189" customWidth="1"/>
    <col min="11523" max="11523" width="11.75" style="3189" customWidth="1"/>
    <col min="11524" max="11525" width="13.875" style="3189" customWidth="1"/>
    <col min="11526" max="11526" width="6.25" style="3189" customWidth="1"/>
    <col min="11527" max="11527" width="7.875" style="3189" customWidth="1"/>
    <col min="11528" max="11528" width="9" style="3189" customWidth="1"/>
    <col min="11529" max="11530" width="10.625" style="3189" customWidth="1"/>
    <col min="11531" max="11531" width="14.375" style="3189" customWidth="1"/>
    <col min="11532" max="11532" width="6.25" style="3189" customWidth="1"/>
    <col min="11533" max="11533" width="145" style="3189" customWidth="1"/>
    <col min="11534" max="11534" width="7.875" style="3189" customWidth="1"/>
    <col min="11535" max="11776" width="9" style="3189"/>
    <col min="11777" max="11777" width="90.5" style="3189" customWidth="1"/>
    <col min="11778" max="11778" width="6.25" style="3189" customWidth="1"/>
    <col min="11779" max="11779" width="11.75" style="3189" customWidth="1"/>
    <col min="11780" max="11781" width="13.875" style="3189" customWidth="1"/>
    <col min="11782" max="11782" width="6.25" style="3189" customWidth="1"/>
    <col min="11783" max="11783" width="7.875" style="3189" customWidth="1"/>
    <col min="11784" max="11784" width="9" style="3189" customWidth="1"/>
    <col min="11785" max="11786" width="10.625" style="3189" customWidth="1"/>
    <col min="11787" max="11787" width="14.375" style="3189" customWidth="1"/>
    <col min="11788" max="11788" width="6.25" style="3189" customWidth="1"/>
    <col min="11789" max="11789" width="145" style="3189" customWidth="1"/>
    <col min="11790" max="11790" width="7.875" style="3189" customWidth="1"/>
    <col min="11791" max="12032" width="9" style="3189"/>
    <col min="12033" max="12033" width="90.5" style="3189" customWidth="1"/>
    <col min="12034" max="12034" width="6.25" style="3189" customWidth="1"/>
    <col min="12035" max="12035" width="11.75" style="3189" customWidth="1"/>
    <col min="12036" max="12037" width="13.875" style="3189" customWidth="1"/>
    <col min="12038" max="12038" width="6.25" style="3189" customWidth="1"/>
    <col min="12039" max="12039" width="7.875" style="3189" customWidth="1"/>
    <col min="12040" max="12040" width="9" style="3189" customWidth="1"/>
    <col min="12041" max="12042" width="10.625" style="3189" customWidth="1"/>
    <col min="12043" max="12043" width="14.375" style="3189" customWidth="1"/>
    <col min="12044" max="12044" width="6.25" style="3189" customWidth="1"/>
    <col min="12045" max="12045" width="145" style="3189" customWidth="1"/>
    <col min="12046" max="12046" width="7.875" style="3189" customWidth="1"/>
    <col min="12047" max="12288" width="9" style="3189"/>
    <col min="12289" max="12289" width="90.5" style="3189" customWidth="1"/>
    <col min="12290" max="12290" width="6.25" style="3189" customWidth="1"/>
    <col min="12291" max="12291" width="11.75" style="3189" customWidth="1"/>
    <col min="12292" max="12293" width="13.875" style="3189" customWidth="1"/>
    <col min="12294" max="12294" width="6.25" style="3189" customWidth="1"/>
    <col min="12295" max="12295" width="7.875" style="3189" customWidth="1"/>
    <col min="12296" max="12296" width="9" style="3189" customWidth="1"/>
    <col min="12297" max="12298" width="10.625" style="3189" customWidth="1"/>
    <col min="12299" max="12299" width="14.375" style="3189" customWidth="1"/>
    <col min="12300" max="12300" width="6.25" style="3189" customWidth="1"/>
    <col min="12301" max="12301" width="145" style="3189" customWidth="1"/>
    <col min="12302" max="12302" width="7.875" style="3189" customWidth="1"/>
    <col min="12303" max="12544" width="9" style="3189"/>
    <col min="12545" max="12545" width="90.5" style="3189" customWidth="1"/>
    <col min="12546" max="12546" width="6.25" style="3189" customWidth="1"/>
    <col min="12547" max="12547" width="11.75" style="3189" customWidth="1"/>
    <col min="12548" max="12549" width="13.875" style="3189" customWidth="1"/>
    <col min="12550" max="12550" width="6.25" style="3189" customWidth="1"/>
    <col min="12551" max="12551" width="7.875" style="3189" customWidth="1"/>
    <col min="12552" max="12552" width="9" style="3189" customWidth="1"/>
    <col min="12553" max="12554" width="10.625" style="3189" customWidth="1"/>
    <col min="12555" max="12555" width="14.375" style="3189" customWidth="1"/>
    <col min="12556" max="12556" width="6.25" style="3189" customWidth="1"/>
    <col min="12557" max="12557" width="145" style="3189" customWidth="1"/>
    <col min="12558" max="12558" width="7.875" style="3189" customWidth="1"/>
    <col min="12559" max="12800" width="9" style="3189"/>
    <col min="12801" max="12801" width="90.5" style="3189" customWidth="1"/>
    <col min="12802" max="12802" width="6.25" style="3189" customWidth="1"/>
    <col min="12803" max="12803" width="11.75" style="3189" customWidth="1"/>
    <col min="12804" max="12805" width="13.875" style="3189" customWidth="1"/>
    <col min="12806" max="12806" width="6.25" style="3189" customWidth="1"/>
    <col min="12807" max="12807" width="7.875" style="3189" customWidth="1"/>
    <col min="12808" max="12808" width="9" style="3189" customWidth="1"/>
    <col min="12809" max="12810" width="10.625" style="3189" customWidth="1"/>
    <col min="12811" max="12811" width="14.375" style="3189" customWidth="1"/>
    <col min="12812" max="12812" width="6.25" style="3189" customWidth="1"/>
    <col min="12813" max="12813" width="145" style="3189" customWidth="1"/>
    <col min="12814" max="12814" width="7.875" style="3189" customWidth="1"/>
    <col min="12815" max="13056" width="9" style="3189"/>
    <col min="13057" max="13057" width="90.5" style="3189" customWidth="1"/>
    <col min="13058" max="13058" width="6.25" style="3189" customWidth="1"/>
    <col min="13059" max="13059" width="11.75" style="3189" customWidth="1"/>
    <col min="13060" max="13061" width="13.875" style="3189" customWidth="1"/>
    <col min="13062" max="13062" width="6.25" style="3189" customWidth="1"/>
    <col min="13063" max="13063" width="7.875" style="3189" customWidth="1"/>
    <col min="13064" max="13064" width="9" style="3189" customWidth="1"/>
    <col min="13065" max="13066" width="10.625" style="3189" customWidth="1"/>
    <col min="13067" max="13067" width="14.375" style="3189" customWidth="1"/>
    <col min="13068" max="13068" width="6.25" style="3189" customWidth="1"/>
    <col min="13069" max="13069" width="145" style="3189" customWidth="1"/>
    <col min="13070" max="13070" width="7.875" style="3189" customWidth="1"/>
    <col min="13071" max="13312" width="9" style="3189"/>
    <col min="13313" max="13313" width="90.5" style="3189" customWidth="1"/>
    <col min="13314" max="13314" width="6.25" style="3189" customWidth="1"/>
    <col min="13315" max="13315" width="11.75" style="3189" customWidth="1"/>
    <col min="13316" max="13317" width="13.875" style="3189" customWidth="1"/>
    <col min="13318" max="13318" width="6.25" style="3189" customWidth="1"/>
    <col min="13319" max="13319" width="7.875" style="3189" customWidth="1"/>
    <col min="13320" max="13320" width="9" style="3189" customWidth="1"/>
    <col min="13321" max="13322" width="10.625" style="3189" customWidth="1"/>
    <col min="13323" max="13323" width="14.375" style="3189" customWidth="1"/>
    <col min="13324" max="13324" width="6.25" style="3189" customWidth="1"/>
    <col min="13325" max="13325" width="145" style="3189" customWidth="1"/>
    <col min="13326" max="13326" width="7.875" style="3189" customWidth="1"/>
    <col min="13327" max="13568" width="9" style="3189"/>
    <col min="13569" max="13569" width="90.5" style="3189" customWidth="1"/>
    <col min="13570" max="13570" width="6.25" style="3189" customWidth="1"/>
    <col min="13571" max="13571" width="11.75" style="3189" customWidth="1"/>
    <col min="13572" max="13573" width="13.875" style="3189" customWidth="1"/>
    <col min="13574" max="13574" width="6.25" style="3189" customWidth="1"/>
    <col min="13575" max="13575" width="7.875" style="3189" customWidth="1"/>
    <col min="13576" max="13576" width="9" style="3189" customWidth="1"/>
    <col min="13577" max="13578" width="10.625" style="3189" customWidth="1"/>
    <col min="13579" max="13579" width="14.375" style="3189" customWidth="1"/>
    <col min="13580" max="13580" width="6.25" style="3189" customWidth="1"/>
    <col min="13581" max="13581" width="145" style="3189" customWidth="1"/>
    <col min="13582" max="13582" width="7.875" style="3189" customWidth="1"/>
    <col min="13583" max="13824" width="9" style="3189"/>
    <col min="13825" max="13825" width="90.5" style="3189" customWidth="1"/>
    <col min="13826" max="13826" width="6.25" style="3189" customWidth="1"/>
    <col min="13827" max="13827" width="11.75" style="3189" customWidth="1"/>
    <col min="13828" max="13829" width="13.875" style="3189" customWidth="1"/>
    <col min="13830" max="13830" width="6.25" style="3189" customWidth="1"/>
    <col min="13831" max="13831" width="7.875" style="3189" customWidth="1"/>
    <col min="13832" max="13832" width="9" style="3189" customWidth="1"/>
    <col min="13833" max="13834" width="10.625" style="3189" customWidth="1"/>
    <col min="13835" max="13835" width="14.375" style="3189" customWidth="1"/>
    <col min="13836" max="13836" width="6.25" style="3189" customWidth="1"/>
    <col min="13837" max="13837" width="145" style="3189" customWidth="1"/>
    <col min="13838" max="13838" width="7.875" style="3189" customWidth="1"/>
    <col min="13839" max="14080" width="9" style="3189"/>
    <col min="14081" max="14081" width="90.5" style="3189" customWidth="1"/>
    <col min="14082" max="14082" width="6.25" style="3189" customWidth="1"/>
    <col min="14083" max="14083" width="11.75" style="3189" customWidth="1"/>
    <col min="14084" max="14085" width="13.875" style="3189" customWidth="1"/>
    <col min="14086" max="14086" width="6.25" style="3189" customWidth="1"/>
    <col min="14087" max="14087" width="7.875" style="3189" customWidth="1"/>
    <col min="14088" max="14088" width="9" style="3189" customWidth="1"/>
    <col min="14089" max="14090" width="10.625" style="3189" customWidth="1"/>
    <col min="14091" max="14091" width="14.375" style="3189" customWidth="1"/>
    <col min="14092" max="14092" width="6.25" style="3189" customWidth="1"/>
    <col min="14093" max="14093" width="145" style="3189" customWidth="1"/>
    <col min="14094" max="14094" width="7.875" style="3189" customWidth="1"/>
    <col min="14095" max="14336" width="9" style="3189"/>
    <col min="14337" max="14337" width="90.5" style="3189" customWidth="1"/>
    <col min="14338" max="14338" width="6.25" style="3189" customWidth="1"/>
    <col min="14339" max="14339" width="11.75" style="3189" customWidth="1"/>
    <col min="14340" max="14341" width="13.875" style="3189" customWidth="1"/>
    <col min="14342" max="14342" width="6.25" style="3189" customWidth="1"/>
    <col min="14343" max="14343" width="7.875" style="3189" customWidth="1"/>
    <col min="14344" max="14344" width="9" style="3189" customWidth="1"/>
    <col min="14345" max="14346" width="10.625" style="3189" customWidth="1"/>
    <col min="14347" max="14347" width="14.375" style="3189" customWidth="1"/>
    <col min="14348" max="14348" width="6.25" style="3189" customWidth="1"/>
    <col min="14349" max="14349" width="145" style="3189" customWidth="1"/>
    <col min="14350" max="14350" width="7.875" style="3189" customWidth="1"/>
    <col min="14351" max="14592" width="9" style="3189"/>
    <col min="14593" max="14593" width="90.5" style="3189" customWidth="1"/>
    <col min="14594" max="14594" width="6.25" style="3189" customWidth="1"/>
    <col min="14595" max="14595" width="11.75" style="3189" customWidth="1"/>
    <col min="14596" max="14597" width="13.875" style="3189" customWidth="1"/>
    <col min="14598" max="14598" width="6.25" style="3189" customWidth="1"/>
    <col min="14599" max="14599" width="7.875" style="3189" customWidth="1"/>
    <col min="14600" max="14600" width="9" style="3189" customWidth="1"/>
    <col min="14601" max="14602" width="10.625" style="3189" customWidth="1"/>
    <col min="14603" max="14603" width="14.375" style="3189" customWidth="1"/>
    <col min="14604" max="14604" width="6.25" style="3189" customWidth="1"/>
    <col min="14605" max="14605" width="145" style="3189" customWidth="1"/>
    <col min="14606" max="14606" width="7.875" style="3189" customWidth="1"/>
    <col min="14607" max="14848" width="9" style="3189"/>
    <col min="14849" max="14849" width="90.5" style="3189" customWidth="1"/>
    <col min="14850" max="14850" width="6.25" style="3189" customWidth="1"/>
    <col min="14851" max="14851" width="11.75" style="3189" customWidth="1"/>
    <col min="14852" max="14853" width="13.875" style="3189" customWidth="1"/>
    <col min="14854" max="14854" width="6.25" style="3189" customWidth="1"/>
    <col min="14855" max="14855" width="7.875" style="3189" customWidth="1"/>
    <col min="14856" max="14856" width="9" style="3189" customWidth="1"/>
    <col min="14857" max="14858" width="10.625" style="3189" customWidth="1"/>
    <col min="14859" max="14859" width="14.375" style="3189" customWidth="1"/>
    <col min="14860" max="14860" width="6.25" style="3189" customWidth="1"/>
    <col min="14861" max="14861" width="145" style="3189" customWidth="1"/>
    <col min="14862" max="14862" width="7.875" style="3189" customWidth="1"/>
    <col min="14863" max="15104" width="9" style="3189"/>
    <col min="15105" max="15105" width="90.5" style="3189" customWidth="1"/>
    <col min="15106" max="15106" width="6.25" style="3189" customWidth="1"/>
    <col min="15107" max="15107" width="11.75" style="3189" customWidth="1"/>
    <col min="15108" max="15109" width="13.875" style="3189" customWidth="1"/>
    <col min="15110" max="15110" width="6.25" style="3189" customWidth="1"/>
    <col min="15111" max="15111" width="7.875" style="3189" customWidth="1"/>
    <col min="15112" max="15112" width="9" style="3189" customWidth="1"/>
    <col min="15113" max="15114" width="10.625" style="3189" customWidth="1"/>
    <col min="15115" max="15115" width="14.375" style="3189" customWidth="1"/>
    <col min="15116" max="15116" width="6.25" style="3189" customWidth="1"/>
    <col min="15117" max="15117" width="145" style="3189" customWidth="1"/>
    <col min="15118" max="15118" width="7.875" style="3189" customWidth="1"/>
    <col min="15119" max="15360" width="9" style="3189"/>
    <col min="15361" max="15361" width="90.5" style="3189" customWidth="1"/>
    <col min="15362" max="15362" width="6.25" style="3189" customWidth="1"/>
    <col min="15363" max="15363" width="11.75" style="3189" customWidth="1"/>
    <col min="15364" max="15365" width="13.875" style="3189" customWidth="1"/>
    <col min="15366" max="15366" width="6.25" style="3189" customWidth="1"/>
    <col min="15367" max="15367" width="7.875" style="3189" customWidth="1"/>
    <col min="15368" max="15368" width="9" style="3189" customWidth="1"/>
    <col min="15369" max="15370" width="10.625" style="3189" customWidth="1"/>
    <col min="15371" max="15371" width="14.375" style="3189" customWidth="1"/>
    <col min="15372" max="15372" width="6.25" style="3189" customWidth="1"/>
    <col min="15373" max="15373" width="145" style="3189" customWidth="1"/>
    <col min="15374" max="15374" width="7.875" style="3189" customWidth="1"/>
    <col min="15375" max="15616" width="9" style="3189"/>
    <col min="15617" max="15617" width="90.5" style="3189" customWidth="1"/>
    <col min="15618" max="15618" width="6.25" style="3189" customWidth="1"/>
    <col min="15619" max="15619" width="11.75" style="3189" customWidth="1"/>
    <col min="15620" max="15621" width="13.875" style="3189" customWidth="1"/>
    <col min="15622" max="15622" width="6.25" style="3189" customWidth="1"/>
    <col min="15623" max="15623" width="7.875" style="3189" customWidth="1"/>
    <col min="15624" max="15624" width="9" style="3189" customWidth="1"/>
    <col min="15625" max="15626" width="10.625" style="3189" customWidth="1"/>
    <col min="15627" max="15627" width="14.375" style="3189" customWidth="1"/>
    <col min="15628" max="15628" width="6.25" style="3189" customWidth="1"/>
    <col min="15629" max="15629" width="145" style="3189" customWidth="1"/>
    <col min="15630" max="15630" width="7.875" style="3189" customWidth="1"/>
    <col min="15631" max="15872" width="9" style="3189"/>
    <col min="15873" max="15873" width="90.5" style="3189" customWidth="1"/>
    <col min="15874" max="15874" width="6.25" style="3189" customWidth="1"/>
    <col min="15875" max="15875" width="11.75" style="3189" customWidth="1"/>
    <col min="15876" max="15877" width="13.875" style="3189" customWidth="1"/>
    <col min="15878" max="15878" width="6.25" style="3189" customWidth="1"/>
    <col min="15879" max="15879" width="7.875" style="3189" customWidth="1"/>
    <col min="15880" max="15880" width="9" style="3189" customWidth="1"/>
    <col min="15881" max="15882" width="10.625" style="3189" customWidth="1"/>
    <col min="15883" max="15883" width="14.375" style="3189" customWidth="1"/>
    <col min="15884" max="15884" width="6.25" style="3189" customWidth="1"/>
    <col min="15885" max="15885" width="145" style="3189" customWidth="1"/>
    <col min="15886" max="15886" width="7.875" style="3189" customWidth="1"/>
    <col min="15887" max="16128" width="9" style="3189"/>
    <col min="16129" max="16129" width="90.5" style="3189" customWidth="1"/>
    <col min="16130" max="16130" width="6.25" style="3189" customWidth="1"/>
    <col min="16131" max="16131" width="11.75" style="3189" customWidth="1"/>
    <col min="16132" max="16133" width="13.875" style="3189" customWidth="1"/>
    <col min="16134" max="16134" width="6.25" style="3189" customWidth="1"/>
    <col min="16135" max="16135" width="7.875" style="3189" customWidth="1"/>
    <col min="16136" max="16136" width="9" style="3189" customWidth="1"/>
    <col min="16137" max="16138" width="10.625" style="3189" customWidth="1"/>
    <col min="16139" max="16139" width="14.375" style="3189" customWidth="1"/>
    <col min="16140" max="16140" width="6.25" style="3189" customWidth="1"/>
    <col min="16141" max="16141" width="145" style="3189" customWidth="1"/>
    <col min="16142" max="16142" width="7.875" style="3189" customWidth="1"/>
    <col min="16143" max="16384" width="9" style="3189"/>
  </cols>
  <sheetData>
    <row r="1" spans="1:14">
      <c r="A1" s="3189" t="s">
        <v>3022</v>
      </c>
      <c r="B1" s="3189" t="s">
        <v>3023</v>
      </c>
      <c r="C1" s="3189" t="s">
        <v>3024</v>
      </c>
      <c r="D1" s="3189" t="s">
        <v>3025</v>
      </c>
      <c r="E1" s="3189" t="s">
        <v>3026</v>
      </c>
      <c r="F1" s="3189" t="s">
        <v>2029</v>
      </c>
      <c r="G1" s="3189" t="s">
        <v>3027</v>
      </c>
      <c r="H1" s="3189" t="s">
        <v>3028</v>
      </c>
      <c r="I1" s="3189" t="s">
        <v>3029</v>
      </c>
      <c r="J1" s="3189" t="s">
        <v>3030</v>
      </c>
      <c r="K1" s="3189" t="s">
        <v>3031</v>
      </c>
      <c r="L1" s="3189" t="s">
        <v>3032</v>
      </c>
      <c r="M1" s="3189" t="s">
        <v>3033</v>
      </c>
      <c r="N1" s="3189" t="s">
        <v>3034</v>
      </c>
    </row>
    <row r="2" spans="1:14">
      <c r="A2" s="3189" t="s">
        <v>3035</v>
      </c>
      <c r="B2" s="3189" t="s">
        <v>1942</v>
      </c>
      <c r="C2" s="3189" t="s">
        <v>3036</v>
      </c>
      <c r="D2" s="3189">
        <v>113768</v>
      </c>
      <c r="E2" s="3189">
        <v>119494</v>
      </c>
      <c r="F2" s="3189">
        <v>1.05</v>
      </c>
      <c r="G2" s="3189" t="s">
        <v>3037</v>
      </c>
      <c r="H2" s="3189" t="s">
        <v>3038</v>
      </c>
      <c r="I2" s="3189" t="s">
        <v>2814</v>
      </c>
      <c r="J2" s="3189">
        <v>74000</v>
      </c>
      <c r="K2" s="3189">
        <v>6192.77</v>
      </c>
      <c r="L2" s="3189" t="s">
        <v>2814</v>
      </c>
      <c r="M2" s="3189" t="s">
        <v>3039</v>
      </c>
      <c r="N2" s="3189" t="s">
        <v>3040</v>
      </c>
    </row>
    <row r="3" spans="1:14">
      <c r="A3" s="3189" t="s">
        <v>3041</v>
      </c>
      <c r="B3" s="3189" t="s">
        <v>1942</v>
      </c>
      <c r="C3" s="3189" t="s">
        <v>3036</v>
      </c>
      <c r="D3" s="3189">
        <v>18015.060000000001</v>
      </c>
      <c r="E3" s="3189">
        <v>54046</v>
      </c>
      <c r="F3" s="3189">
        <v>3</v>
      </c>
      <c r="G3" s="3189" t="s">
        <v>3037</v>
      </c>
      <c r="H3" s="3189" t="s">
        <v>3042</v>
      </c>
      <c r="I3" s="3189">
        <v>60000</v>
      </c>
      <c r="J3" s="3189">
        <v>60000</v>
      </c>
      <c r="K3" s="3189">
        <v>11101.64</v>
      </c>
      <c r="L3" s="3189">
        <v>0</v>
      </c>
      <c r="M3" s="3189" t="s">
        <v>3043</v>
      </c>
      <c r="N3" s="3189" t="s">
        <v>3044</v>
      </c>
    </row>
    <row r="4" spans="1:14">
      <c r="A4" s="3189" t="s">
        <v>3045</v>
      </c>
      <c r="B4" s="3189" t="s">
        <v>1942</v>
      </c>
      <c r="C4" s="3189" t="s">
        <v>3036</v>
      </c>
      <c r="D4" s="3189">
        <v>5237.16</v>
      </c>
      <c r="E4" s="3189">
        <v>10474</v>
      </c>
      <c r="F4" s="3189">
        <v>2</v>
      </c>
      <c r="G4" s="3189" t="s">
        <v>3037</v>
      </c>
      <c r="H4" s="3189" t="s">
        <v>3046</v>
      </c>
      <c r="I4" s="3189">
        <v>13000</v>
      </c>
      <c r="J4" s="3189">
        <v>13700</v>
      </c>
      <c r="K4" s="3189">
        <v>13080.01</v>
      </c>
      <c r="L4" s="3189">
        <v>5.38</v>
      </c>
      <c r="M4" s="3189" t="s">
        <v>3047</v>
      </c>
      <c r="N4" s="3189" t="s">
        <v>3040</v>
      </c>
    </row>
    <row r="5" spans="1:14">
      <c r="A5" s="3189" t="s">
        <v>3048</v>
      </c>
      <c r="B5" s="3189" t="s">
        <v>1942</v>
      </c>
      <c r="C5" s="3189" t="s">
        <v>3036</v>
      </c>
      <c r="D5" s="3189">
        <v>120885</v>
      </c>
      <c r="E5" s="3189">
        <v>256512</v>
      </c>
      <c r="F5" s="3189" t="s">
        <v>2814</v>
      </c>
      <c r="G5" s="3189" t="s">
        <v>3037</v>
      </c>
      <c r="H5" s="3189" t="s">
        <v>3049</v>
      </c>
      <c r="I5" s="3189">
        <v>250000</v>
      </c>
      <c r="J5" s="3189">
        <v>250000</v>
      </c>
      <c r="K5" s="3189">
        <v>9746.1200000000008</v>
      </c>
      <c r="L5" s="3189">
        <v>0</v>
      </c>
      <c r="M5" s="3189" t="s">
        <v>3050</v>
      </c>
      <c r="N5" s="3189" t="s">
        <v>3044</v>
      </c>
    </row>
    <row r="6" spans="1:14">
      <c r="A6" s="3189" t="s">
        <v>3051</v>
      </c>
      <c r="B6" s="3189" t="s">
        <v>1942</v>
      </c>
      <c r="C6" s="3189" t="s">
        <v>3036</v>
      </c>
      <c r="D6" s="3189">
        <v>85709</v>
      </c>
      <c r="E6" s="3189">
        <v>179122</v>
      </c>
      <c r="F6" s="3189">
        <v>2.09</v>
      </c>
      <c r="G6" s="3189" t="s">
        <v>3037</v>
      </c>
      <c r="H6" s="3189" t="s">
        <v>3052</v>
      </c>
      <c r="I6" s="3189">
        <v>126000</v>
      </c>
      <c r="J6" s="3189">
        <v>378000</v>
      </c>
      <c r="K6" s="3189">
        <v>21102.93</v>
      </c>
      <c r="L6" s="3189">
        <v>200</v>
      </c>
      <c r="M6" s="3189" t="s">
        <v>3053</v>
      </c>
      <c r="N6" s="3189" t="s">
        <v>3044</v>
      </c>
    </row>
    <row r="7" spans="1:14">
      <c r="A7" s="3189" t="s">
        <v>3054</v>
      </c>
      <c r="B7" s="3189" t="s">
        <v>1942</v>
      </c>
      <c r="C7" s="3189" t="s">
        <v>3036</v>
      </c>
      <c r="D7" s="3189">
        <v>10384</v>
      </c>
      <c r="E7" s="3189">
        <v>25960</v>
      </c>
      <c r="F7" s="3189">
        <v>2.5</v>
      </c>
      <c r="G7" s="3189" t="s">
        <v>3037</v>
      </c>
      <c r="H7" s="3189" t="s">
        <v>3052</v>
      </c>
      <c r="I7" s="3189">
        <v>51300</v>
      </c>
      <c r="J7" s="3189">
        <v>51300</v>
      </c>
      <c r="K7" s="3189">
        <v>19761.16</v>
      </c>
      <c r="L7" s="3189">
        <v>0</v>
      </c>
      <c r="M7" s="3189" t="s">
        <v>3055</v>
      </c>
      <c r="N7" s="3189" t="s">
        <v>3056</v>
      </c>
    </row>
    <row r="8" spans="1:14">
      <c r="A8" s="3189" t="s">
        <v>3057</v>
      </c>
      <c r="B8" s="3189" t="s">
        <v>1942</v>
      </c>
      <c r="C8" s="3189" t="s">
        <v>3036</v>
      </c>
      <c r="D8" s="3189">
        <v>8466</v>
      </c>
      <c r="E8" s="3189">
        <v>21165</v>
      </c>
      <c r="F8" s="3189">
        <v>2.5</v>
      </c>
      <c r="G8" s="3189" t="s">
        <v>3037</v>
      </c>
      <c r="H8" s="3189" t="s">
        <v>3058</v>
      </c>
      <c r="I8" s="3189">
        <v>40600</v>
      </c>
      <c r="J8" s="3189">
        <v>42000</v>
      </c>
      <c r="K8" s="3189">
        <v>19844.080000000002</v>
      </c>
      <c r="L8" s="3189">
        <v>3.45</v>
      </c>
      <c r="M8" s="3189" t="s">
        <v>3059</v>
      </c>
      <c r="N8" s="3189" t="s">
        <v>3056</v>
      </c>
    </row>
    <row r="9" spans="1:14">
      <c r="A9" s="3189" t="s">
        <v>3060</v>
      </c>
      <c r="B9" s="3189" t="s">
        <v>1942</v>
      </c>
      <c r="C9" s="3189" t="s">
        <v>3036</v>
      </c>
      <c r="D9" s="3189">
        <v>44700.95</v>
      </c>
      <c r="E9" s="3189">
        <v>80462</v>
      </c>
      <c r="F9" s="3189">
        <v>1.8</v>
      </c>
      <c r="G9" s="3189" t="s">
        <v>3037</v>
      </c>
      <c r="H9" s="3189" t="s">
        <v>3061</v>
      </c>
      <c r="I9" s="3189">
        <v>22400</v>
      </c>
      <c r="J9" s="3189">
        <v>22400</v>
      </c>
      <c r="K9" s="3189">
        <v>2783.92</v>
      </c>
      <c r="L9" s="3189">
        <v>0</v>
      </c>
      <c r="M9" s="3189" t="s">
        <v>3062</v>
      </c>
      <c r="N9" s="3189" t="s">
        <v>3040</v>
      </c>
    </row>
    <row r="10" spans="1:14">
      <c r="A10" s="3189" t="s">
        <v>3063</v>
      </c>
      <c r="B10" s="3189" t="s">
        <v>1942</v>
      </c>
      <c r="C10" s="3189" t="s">
        <v>3036</v>
      </c>
      <c r="D10" s="3189">
        <v>31231</v>
      </c>
      <c r="E10" s="3189">
        <v>109309</v>
      </c>
      <c r="F10" s="3189">
        <v>3.5</v>
      </c>
      <c r="G10" s="3189" t="s">
        <v>3037</v>
      </c>
      <c r="H10" s="3189" t="s">
        <v>3064</v>
      </c>
      <c r="I10" s="3189">
        <v>94500</v>
      </c>
      <c r="J10" s="3189" t="s">
        <v>2814</v>
      </c>
      <c r="K10" s="3189" t="s">
        <v>2814</v>
      </c>
      <c r="L10" s="3189" t="s">
        <v>2814</v>
      </c>
      <c r="M10" s="3189" t="s">
        <v>2814</v>
      </c>
      <c r="N10" s="3189" t="s">
        <v>3056</v>
      </c>
    </row>
    <row r="11" spans="1:14">
      <c r="A11" s="3189" t="s">
        <v>3065</v>
      </c>
      <c r="B11" s="3189" t="s">
        <v>1942</v>
      </c>
      <c r="C11" s="3189" t="s">
        <v>3036</v>
      </c>
      <c r="D11" s="3189">
        <v>120885</v>
      </c>
      <c r="E11" s="3189">
        <v>256512</v>
      </c>
      <c r="F11" s="3189">
        <v>2.12</v>
      </c>
      <c r="G11" s="3189" t="s">
        <v>3037</v>
      </c>
      <c r="H11" s="3189" t="s">
        <v>3066</v>
      </c>
      <c r="I11" s="3189">
        <v>241000</v>
      </c>
      <c r="J11" s="3189" t="s">
        <v>2814</v>
      </c>
      <c r="K11" s="3189" t="s">
        <v>2814</v>
      </c>
      <c r="L11" s="3189" t="s">
        <v>2814</v>
      </c>
      <c r="M11" s="3189" t="s">
        <v>2814</v>
      </c>
      <c r="N11" s="3189" t="s">
        <v>3044</v>
      </c>
    </row>
    <row r="12" spans="1:14">
      <c r="A12" s="3189" t="s">
        <v>3067</v>
      </c>
      <c r="B12" s="3189" t="s">
        <v>1942</v>
      </c>
      <c r="C12" s="3189" t="s">
        <v>3036</v>
      </c>
      <c r="D12" s="3189">
        <v>27641.17</v>
      </c>
      <c r="E12" s="3189">
        <v>96744</v>
      </c>
      <c r="F12" s="3189">
        <v>3.5</v>
      </c>
      <c r="G12" s="3189" t="s">
        <v>3037</v>
      </c>
      <c r="H12" s="3189" t="s">
        <v>3068</v>
      </c>
      <c r="I12" s="3189">
        <v>117000</v>
      </c>
      <c r="J12" s="3189">
        <v>117600</v>
      </c>
      <c r="K12" s="3189">
        <v>12155.79</v>
      </c>
      <c r="L12" s="3189">
        <v>0.51</v>
      </c>
      <c r="M12" s="3189" t="s">
        <v>3069</v>
      </c>
      <c r="N12" s="3189" t="s">
        <v>3044</v>
      </c>
    </row>
    <row r="13" spans="1:14">
      <c r="A13" s="3189" t="s">
        <v>3070</v>
      </c>
      <c r="B13" s="3189" t="s">
        <v>1942</v>
      </c>
      <c r="C13" s="3189" t="s">
        <v>3036</v>
      </c>
      <c r="D13" s="3189">
        <v>12853.55</v>
      </c>
      <c r="E13" s="3189">
        <v>77121</v>
      </c>
      <c r="F13" s="3189">
        <v>6</v>
      </c>
      <c r="G13" s="3189" t="s">
        <v>3037</v>
      </c>
      <c r="H13" s="3189" t="s">
        <v>3071</v>
      </c>
      <c r="I13" s="3189">
        <v>43000</v>
      </c>
      <c r="J13" s="3189">
        <v>52200</v>
      </c>
      <c r="K13" s="3189">
        <v>6768.57</v>
      </c>
      <c r="L13" s="3189">
        <v>21.4</v>
      </c>
      <c r="M13" s="3189" t="s">
        <v>3072</v>
      </c>
      <c r="N13" s="3189" t="s">
        <v>3056</v>
      </c>
    </row>
    <row r="14" spans="1:14">
      <c r="A14" s="3189" t="s">
        <v>3073</v>
      </c>
      <c r="B14" s="3189" t="s">
        <v>1942</v>
      </c>
      <c r="C14" s="3189" t="s">
        <v>3036</v>
      </c>
      <c r="D14" s="3189">
        <v>1080820</v>
      </c>
      <c r="E14" s="3189">
        <v>421534</v>
      </c>
      <c r="F14" s="3189">
        <v>0.39</v>
      </c>
      <c r="G14" s="3189" t="s">
        <v>3037</v>
      </c>
      <c r="H14" s="3189" t="s">
        <v>3074</v>
      </c>
      <c r="I14" s="3189">
        <v>568000</v>
      </c>
      <c r="J14" s="3189">
        <v>568000</v>
      </c>
      <c r="K14" s="3189">
        <v>13474.6</v>
      </c>
      <c r="L14" s="3189">
        <v>0</v>
      </c>
      <c r="M14" s="3189" t="s">
        <v>3075</v>
      </c>
      <c r="N14" s="3189" t="s">
        <v>3040</v>
      </c>
    </row>
    <row r="15" spans="1:14">
      <c r="A15" s="3189" t="s">
        <v>3076</v>
      </c>
      <c r="B15" s="3189" t="s">
        <v>1942</v>
      </c>
      <c r="C15" s="3189" t="s">
        <v>3036</v>
      </c>
      <c r="D15" s="3189">
        <v>172579</v>
      </c>
      <c r="E15" s="3189">
        <v>257041</v>
      </c>
      <c r="F15" s="3189">
        <v>1.49</v>
      </c>
      <c r="G15" s="3189" t="s">
        <v>3037</v>
      </c>
      <c r="H15" s="3189" t="s">
        <v>3077</v>
      </c>
      <c r="I15" s="3189">
        <v>51400</v>
      </c>
      <c r="J15" s="3189" t="s">
        <v>2814</v>
      </c>
      <c r="K15" s="3189" t="s">
        <v>2814</v>
      </c>
      <c r="L15" s="3189" t="s">
        <v>2814</v>
      </c>
      <c r="M15" s="3189" t="s">
        <v>2814</v>
      </c>
      <c r="N15" s="3189" t="s">
        <v>3040</v>
      </c>
    </row>
    <row r="16" spans="1:14">
      <c r="A16" s="3189" t="s">
        <v>3078</v>
      </c>
      <c r="B16" s="3189" t="s">
        <v>1942</v>
      </c>
      <c r="C16" s="3189" t="s">
        <v>3036</v>
      </c>
      <c r="D16" s="3189">
        <v>33776</v>
      </c>
      <c r="E16" s="3189">
        <v>94573</v>
      </c>
      <c r="F16" s="3189">
        <v>2.8</v>
      </c>
      <c r="G16" s="3189" t="s">
        <v>3037</v>
      </c>
      <c r="H16" s="3189" t="s">
        <v>3079</v>
      </c>
      <c r="I16" s="3189">
        <v>33500</v>
      </c>
      <c r="J16" s="3189">
        <v>99500</v>
      </c>
      <c r="K16" s="3189">
        <v>10520.96</v>
      </c>
      <c r="L16" s="3189">
        <v>197.01</v>
      </c>
      <c r="M16" s="3189" t="s">
        <v>3080</v>
      </c>
      <c r="N16" s="3189" t="s">
        <v>3056</v>
      </c>
    </row>
  </sheetData>
  <phoneticPr fontId="229"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43700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2035</v>
      </c>
      <c r="B1" s="3254"/>
      <c r="C1" s="3254"/>
      <c r="D1" s="3254"/>
      <c r="E1" s="3254"/>
      <c r="F1" s="3254"/>
      <c r="G1" s="3254"/>
      <c r="H1" s="3254"/>
      <c r="I1" s="3254"/>
      <c r="J1" s="3254"/>
      <c r="K1" s="3254"/>
      <c r="L1" s="3254"/>
      <c r="M1" s="3254"/>
      <c r="N1" s="3254"/>
      <c r="O1" s="3254"/>
      <c r="P1" s="3254"/>
      <c r="Q1" s="3254"/>
      <c r="R1" s="3254"/>
    </row>
    <row r="2" spans="1:18">
      <c r="A2" s="1792" t="s">
        <v>2037</v>
      </c>
      <c r="B2" s="1792"/>
      <c r="C2" s="1792"/>
      <c r="D2" s="1792"/>
      <c r="E2" s="1792"/>
      <c r="F2" s="1792"/>
      <c r="G2" s="1792"/>
      <c r="H2" s="1792"/>
      <c r="I2" s="1793"/>
      <c r="J2" s="1793"/>
      <c r="K2" s="1794" t="str">
        <f>"估价期日："&amp;TEXT(项目基本情况!D3,"yyyy年m月d日;;")</f>
        <v>估价期日：2019年8月23日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5" t="s">
        <v>2026</v>
      </c>
      <c r="B3" s="3255" t="s">
        <v>2728</v>
      </c>
      <c r="C3" s="3256" t="s">
        <v>2027</v>
      </c>
      <c r="D3" s="3255" t="s">
        <v>2732</v>
      </c>
      <c r="E3" s="3258" t="s">
        <v>2028</v>
      </c>
      <c r="F3" s="3258"/>
      <c r="G3" s="3258"/>
      <c r="H3" s="3258" t="s">
        <v>2029</v>
      </c>
      <c r="I3" s="3258"/>
      <c r="J3" s="3258"/>
      <c r="K3" s="3256" t="s">
        <v>2030</v>
      </c>
      <c r="L3" s="3256" t="s">
        <v>2031</v>
      </c>
      <c r="M3" s="3255" t="s">
        <v>2729</v>
      </c>
      <c r="N3" s="3257" t="str">
        <f>"（分摊）"&amp;项目基本情况!B16&amp;"国有建设用地使用权面积/㎡"</f>
        <v>（分摊）出让国有建设用地使用权面积/㎡</v>
      </c>
      <c r="O3" s="3255" t="s">
        <v>2060</v>
      </c>
      <c r="P3" s="3256" t="s">
        <v>2040</v>
      </c>
      <c r="Q3" s="3256" t="s">
        <v>2061</v>
      </c>
      <c r="R3" s="3256" t="s">
        <v>2032</v>
      </c>
    </row>
    <row r="4" spans="1:18" ht="36.75" customHeight="1">
      <c r="A4" s="3255"/>
      <c r="B4" s="3255"/>
      <c r="C4" s="3256"/>
      <c r="D4" s="3255"/>
      <c r="E4" s="2613" t="s">
        <v>2039</v>
      </c>
      <c r="F4" s="2613" t="s">
        <v>2741</v>
      </c>
      <c r="G4" s="2613" t="s">
        <v>2033</v>
      </c>
      <c r="H4" s="2613" t="s">
        <v>2034</v>
      </c>
      <c r="I4" s="2613" t="s">
        <v>2742</v>
      </c>
      <c r="J4" s="2613" t="s">
        <v>2033</v>
      </c>
      <c r="K4" s="3256"/>
      <c r="L4" s="3256"/>
      <c r="M4" s="3255"/>
      <c r="N4" s="3257"/>
      <c r="O4" s="3255"/>
      <c r="P4" s="3256"/>
      <c r="Q4" s="3256"/>
      <c r="R4" s="3256"/>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40700</v>
      </c>
      <c r="O5" s="1795">
        <f>项目基本情况!C21</f>
        <v>4100</v>
      </c>
      <c r="P5" s="1795">
        <f ca="1">结果表!E42</f>
        <v>512</v>
      </c>
      <c r="Q5" s="1795">
        <f ca="1">结果表!D42</f>
        <v>5080</v>
      </c>
      <c r="R5" s="1796">
        <f ca="1">结果表!C42</f>
        <v>2083</v>
      </c>
    </row>
    <row r="6" spans="1:18">
      <c r="A6" s="3259" t="str">
        <f>IF(项目基本情况!B9="市场价格","——","抵押价格")</f>
        <v>——</v>
      </c>
      <c r="B6" s="3260"/>
      <c r="C6" s="3260"/>
      <c r="D6" s="3260"/>
      <c r="E6" s="3260"/>
      <c r="F6" s="3260"/>
      <c r="G6" s="3260"/>
      <c r="H6" s="3260"/>
      <c r="I6" s="3260"/>
      <c r="J6" s="3260"/>
      <c r="K6" s="3260"/>
      <c r="L6" s="3260"/>
      <c r="M6" s="3260"/>
      <c r="N6" s="3260"/>
      <c r="O6" s="3260"/>
      <c r="P6" s="3260"/>
      <c r="Q6" s="3261"/>
      <c r="R6" s="1797" t="str">
        <f>结果表!O39</f>
        <v>——</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797" t="str">
        <f>结果表!O40</f>
        <v>——</v>
      </c>
    </row>
    <row r="8" spans="1:18">
      <c r="A8" s="3259" t="str">
        <f>IF(项目基本情况!B9="市场价格","——",项目基本情况!E9)</f>
        <v>——</v>
      </c>
      <c r="B8" s="3260"/>
      <c r="C8" s="3260"/>
      <c r="D8" s="3260"/>
      <c r="E8" s="3260"/>
      <c r="F8" s="3260"/>
      <c r="G8" s="3260"/>
      <c r="H8" s="3260"/>
      <c r="I8" s="3260"/>
      <c r="J8" s="3260"/>
      <c r="K8" s="3260"/>
      <c r="L8" s="3260"/>
      <c r="M8" s="3260"/>
      <c r="N8" s="3260"/>
      <c r="O8" s="3260"/>
      <c r="P8" s="3260"/>
      <c r="Q8" s="3261"/>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62" t="s">
        <v>2062</v>
      </c>
      <c r="B1" s="3262"/>
      <c r="C1" s="3262"/>
      <c r="D1" s="3262"/>
    </row>
    <row r="2" spans="1:4" ht="47.25" customHeight="1">
      <c r="A2" s="3266" t="str">
        <f>"1.权利限制："&amp;项目基本情况!L24&amp;"未设定租赁等其他他项权利。"</f>
        <v>1.权利限制：根据估价对象《不动产权证书》原件、《国有土地使用权》复印件，截至估价期日，估价对象抵押权未见登记。未设定租赁等其他他项权利。</v>
      </c>
      <c r="B2" s="3266"/>
      <c r="C2" s="3266"/>
      <c r="D2" s="3266"/>
    </row>
    <row r="3" spans="1:4" ht="48" customHeight="1">
      <c r="A3" s="32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2"/>
      <c r="C3" s="3262"/>
      <c r="D3" s="3262"/>
    </row>
    <row r="4" spans="1:4" ht="36.75" customHeight="1">
      <c r="A4" s="3262" t="str">
        <f>"3.估价规划限制条件：详见"&amp;项目基本情况!E21&amp;"。"</f>
        <v>3.估价规划限制条件：详见《建设工程规划许可证》[]、《出让合同》[]。</v>
      </c>
      <c r="B4" s="3262"/>
      <c r="C4" s="3262"/>
      <c r="D4" s="3262"/>
    </row>
    <row r="5" spans="1:4">
      <c r="A5" s="3265" t="s">
        <v>2063</v>
      </c>
      <c r="B5" s="3265"/>
      <c r="C5" s="3265"/>
      <c r="D5" s="3265"/>
    </row>
    <row r="6" spans="1:4">
      <c r="A6" s="3262" t="s">
        <v>2041</v>
      </c>
      <c r="B6" s="3262"/>
      <c r="C6" s="3262"/>
      <c r="D6" s="3262"/>
    </row>
    <row r="7" spans="1:4" ht="33" customHeight="1">
      <c r="A7" s="3262" t="s">
        <v>2572</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2"/>
      <c r="C8" s="3262"/>
      <c r="D8" s="3262"/>
    </row>
    <row r="9" spans="1:4" ht="33.75" customHeight="1">
      <c r="A9" s="3262" t="str">
        <f>IF(项目基本情况!B8="抵押","3.抵押双方在办理抵押登记手续时，应使用本公司出具的正式《土地估价报告》，特提请报告使用者注意。","——")</f>
        <v>——</v>
      </c>
      <c r="B9" s="3262"/>
      <c r="C9" s="3262"/>
      <c r="D9" s="3262"/>
    </row>
    <row r="10" spans="1:4">
      <c r="A10" s="3262" t="str">
        <f>IF(项目基本情况!B8="抵押","4.估价师所知悉的法定优先受偿款情况为：","——")</f>
        <v>——</v>
      </c>
      <c r="B10" s="3262"/>
      <c r="C10" s="3262"/>
      <c r="D10" s="3262"/>
    </row>
    <row r="11" spans="1:4" ht="37.5" customHeight="1">
      <c r="A11" s="3264" t="str">
        <f>IF(项目基本情况!B8="抵押","（1）"&amp;CONCATENATE(项目基本情况!L24,项目基本情况!L25,项目基本情况!L26),"——")</f>
        <v>——</v>
      </c>
      <c r="B11" s="3264"/>
      <c r="C11" s="3264"/>
      <c r="D11" s="3264"/>
    </row>
    <row r="12" spans="1:4" ht="168" customHeight="1">
      <c r="A12" s="3265" t="s">
        <v>2065</v>
      </c>
      <c r="B12" s="3265"/>
      <c r="C12" s="3265"/>
      <c r="D12" s="3265"/>
    </row>
    <row r="13" spans="1:4">
      <c r="A13" s="3263" t="s">
        <v>2743</v>
      </c>
      <c r="B13" s="3263"/>
      <c r="C13" s="3263"/>
      <c r="D13" s="3263"/>
    </row>
    <row r="14" spans="1:4">
      <c r="A14" s="3264" t="str">
        <f>IF(项目基本情况!B8="抵押","综上，"&amp;结果表!K47,"——")</f>
        <v>——</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2699</v>
      </c>
      <c r="B17" s="3262"/>
      <c r="C17" s="3262"/>
      <c r="D17" s="3262"/>
    </row>
    <row r="18" spans="1:4">
      <c r="A18" s="3262" t="s">
        <v>2691</v>
      </c>
      <c r="B18" s="3262"/>
      <c r="C18" s="3262"/>
      <c r="D18" s="3262"/>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62" t="s">
        <v>2696</v>
      </c>
      <c r="B23" s="3262"/>
      <c r="C23" s="3262"/>
      <c r="D23" s="3262"/>
    </row>
    <row r="24" spans="1:4">
      <c r="A24" s="2823" t="s">
        <v>2692</v>
      </c>
      <c r="B24" s="2823" t="s">
        <v>2697</v>
      </c>
      <c r="C24" s="2823" t="s">
        <v>2694</v>
      </c>
      <c r="D24" s="2823" t="s">
        <v>2695</v>
      </c>
    </row>
    <row r="25" spans="1:4">
      <c r="A25" s="2826" t="s">
        <v>2698</v>
      </c>
      <c r="B25" s="2823" t="s">
        <v>949</v>
      </c>
      <c r="C25" s="2825"/>
      <c r="D25" s="1785" t="s">
        <v>2701</v>
      </c>
    </row>
    <row r="29" spans="1:4">
      <c r="D29" s="2824" t="s">
        <v>2036</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869</v>
      </c>
    </row>
    <row r="13" spans="1:7">
      <c r="A13" s="1166" t="s">
        <v>52</v>
      </c>
    </row>
    <row r="15" spans="1:7" ht="14.25">
      <c r="A15" s="3274" t="s">
        <v>53</v>
      </c>
      <c r="B15" s="3275" t="s">
        <v>843</v>
      </c>
      <c r="C15" s="3271"/>
    </row>
    <row r="16" spans="1:7" ht="14.25">
      <c r="A16" s="3274"/>
      <c r="B16" s="3272" t="s">
        <v>54</v>
      </c>
      <c r="C16" s="1167" t="s">
        <v>53</v>
      </c>
    </row>
    <row r="17" spans="1:3" ht="14.25">
      <c r="A17" s="3274"/>
      <c r="B17" s="3272"/>
      <c r="C17" s="1167" t="s">
        <v>55</v>
      </c>
    </row>
    <row r="18" spans="1:3" ht="14.25">
      <c r="A18" s="3274"/>
      <c r="B18" s="3272"/>
      <c r="C18" s="1167" t="s">
        <v>56</v>
      </c>
    </row>
    <row r="19" spans="1:3" ht="14.25">
      <c r="A19" s="3274"/>
      <c r="B19" s="3270" t="s">
        <v>57</v>
      </c>
      <c r="C19" s="3271"/>
    </row>
    <row r="20" spans="1:3" ht="14.25">
      <c r="A20" s="1168" t="s">
        <v>58</v>
      </c>
      <c r="B20" s="1169"/>
      <c r="C20" s="1170"/>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1" t="s">
        <v>834</v>
      </c>
    </row>
    <row r="25" spans="1:3" ht="14.25">
      <c r="A25" s="3273"/>
      <c r="B25" s="3277"/>
      <c r="C25" s="1171" t="s">
        <v>835</v>
      </c>
    </row>
    <row r="26" spans="1:3" ht="14.25">
      <c r="A26" s="3273"/>
      <c r="B26" s="3277"/>
      <c r="C26" s="1171" t="s">
        <v>836</v>
      </c>
    </row>
    <row r="27" spans="1:3" ht="14.25">
      <c r="A27" s="3273"/>
      <c r="B27" s="3277"/>
      <c r="C27" s="1171" t="s">
        <v>837</v>
      </c>
    </row>
    <row r="28" spans="1:3" ht="14.25">
      <c r="A28" s="3273"/>
      <c r="B28" s="3277"/>
      <c r="C28" s="1171" t="s">
        <v>838</v>
      </c>
    </row>
    <row r="29" spans="1:3" ht="14.25">
      <c r="A29" s="3273"/>
      <c r="B29" s="3277"/>
      <c r="C29" s="1171" t="s">
        <v>839</v>
      </c>
    </row>
    <row r="30" spans="1:3" ht="14.25">
      <c r="A30" s="3273"/>
      <c r="B30" s="3277"/>
      <c r="C30" s="1171" t="s">
        <v>840</v>
      </c>
    </row>
    <row r="31" spans="1:3" ht="14.25">
      <c r="A31" s="3273"/>
      <c r="B31" s="3277"/>
      <c r="C31" s="1171" t="s">
        <v>841</v>
      </c>
    </row>
    <row r="32" spans="1:3" ht="14.25">
      <c r="A32" s="3273"/>
      <c r="B32" s="3277"/>
      <c r="C32" s="1171" t="s">
        <v>1643</v>
      </c>
    </row>
    <row r="33" spans="1:3" ht="14.25">
      <c r="A33" s="3273"/>
      <c r="B33" s="3267" t="s">
        <v>1649</v>
      </c>
      <c r="C33" s="1171" t="s">
        <v>1644</v>
      </c>
    </row>
    <row r="34" spans="1:3" ht="14.25">
      <c r="A34" s="3273"/>
      <c r="B34" s="3268"/>
      <c r="C34" s="1176" t="s">
        <v>1645</v>
      </c>
    </row>
    <row r="35" spans="1:3" ht="14.25">
      <c r="A35" s="3273"/>
      <c r="B35" s="3268"/>
      <c r="C35" s="1177" t="s">
        <v>1646</v>
      </c>
    </row>
    <row r="36" spans="1:3" ht="14.25">
      <c r="A36" s="3273"/>
      <c r="B36" s="3268"/>
      <c r="C36" s="1177" t="s">
        <v>1647</v>
      </c>
    </row>
    <row r="37" spans="1:3" ht="14.25">
      <c r="A37" s="3273"/>
      <c r="B37" s="3269"/>
      <c r="C37" s="1178" t="s">
        <v>1648</v>
      </c>
    </row>
    <row r="38" spans="1:3">
      <c r="A38" s="1172" t="s">
        <v>842</v>
      </c>
    </row>
    <row r="41" spans="1:3">
      <c r="A41" s="1172" t="s">
        <v>68</v>
      </c>
    </row>
    <row r="42" spans="1:3" ht="14.25">
      <c r="A42" s="1173" t="s">
        <v>850</v>
      </c>
    </row>
    <row r="43" spans="1:3" ht="14.25">
      <c r="A43" s="1174" t="s">
        <v>69</v>
      </c>
    </row>
    <row r="44" spans="1:3" ht="14.25">
      <c r="A44" s="1173" t="s">
        <v>849</v>
      </c>
    </row>
    <row r="45" spans="1:3" ht="14.25">
      <c r="A45" s="1175" t="s">
        <v>851</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1904</v>
      </c>
      <c r="B2" s="3127">
        <f ca="1">TODAY()</f>
        <v>44047</v>
      </c>
      <c r="C2" s="3128" t="s">
        <v>1905</v>
      </c>
      <c r="D2" s="3128"/>
    </row>
    <row r="3" spans="1:6" ht="20.25" customHeight="1">
      <c r="A3" s="3130" t="s">
        <v>1906</v>
      </c>
      <c r="B3" s="3131" t="s">
        <v>1907</v>
      </c>
      <c r="C3" s="3131" t="s">
        <v>1908</v>
      </c>
      <c r="D3" s="3132" t="s">
        <v>1909</v>
      </c>
      <c r="E3" s="3131" t="s">
        <v>1910</v>
      </c>
      <c r="F3" s="3131" t="s">
        <v>1908</v>
      </c>
    </row>
    <row r="4" spans="1:6" ht="20.25" customHeight="1">
      <c r="A4" s="3131" t="s">
        <v>1911</v>
      </c>
      <c r="B4" s="3131" t="str">
        <f ca="1">IF(C4&lt;B2,"已过期",1119970066)</f>
        <v>已过期</v>
      </c>
      <c r="C4" s="3133">
        <v>43849</v>
      </c>
      <c r="D4" s="3131" t="s">
        <v>1911</v>
      </c>
      <c r="E4" s="3131">
        <f ca="1">IF(F4&lt;B2,"已过期",96010014)</f>
        <v>96010014</v>
      </c>
      <c r="F4" s="3134">
        <v>47118</v>
      </c>
    </row>
    <row r="5" spans="1:6" ht="20.25" customHeight="1">
      <c r="A5" s="3131" t="s">
        <v>1912</v>
      </c>
      <c r="B5" s="3131" t="str">
        <f ca="1">IF(C5&lt;B2,"已过期",1119970074)</f>
        <v>已过期</v>
      </c>
      <c r="C5" s="3133">
        <v>43849</v>
      </c>
      <c r="D5" s="3131" t="s">
        <v>1912</v>
      </c>
      <c r="E5" s="3131">
        <f ca="1">IF(F5&lt;B2,"已过期",2002110027)</f>
        <v>2002110027</v>
      </c>
      <c r="F5" s="3134">
        <v>46752</v>
      </c>
    </row>
    <row r="6" spans="1:6" ht="20.25" customHeight="1">
      <c r="A6" s="3131" t="s">
        <v>1913</v>
      </c>
      <c r="B6" s="3131" t="str">
        <f ca="1">IF(C6&lt;B2,"已过期",1119970111)</f>
        <v>已过期</v>
      </c>
      <c r="C6" s="3133">
        <v>43849</v>
      </c>
      <c r="D6" s="3131" t="s">
        <v>1913</v>
      </c>
      <c r="E6" s="3131">
        <f ca="1">IF(F6&lt;B2,"已过期",94010078)</f>
        <v>94010078</v>
      </c>
      <c r="F6" s="3134">
        <v>46387</v>
      </c>
    </row>
    <row r="7" spans="1:6" ht="20.25" customHeight="1">
      <c r="A7" s="3131" t="s">
        <v>1914</v>
      </c>
      <c r="B7" s="3131">
        <f ca="1">IF(C7&lt;B2,"已过期",1120050019)</f>
        <v>1120050019</v>
      </c>
      <c r="C7" s="3133">
        <v>44395</v>
      </c>
      <c r="D7" s="3131" t="s">
        <v>1914</v>
      </c>
      <c r="E7" s="3131">
        <f ca="1">IF(F7&lt;B2,"已过期",2002110030)</f>
        <v>2002110030</v>
      </c>
      <c r="F7" s="3134">
        <v>46387</v>
      </c>
    </row>
    <row r="8" spans="1:6" ht="20.25" customHeight="1">
      <c r="A8" s="3131" t="s">
        <v>1915</v>
      </c>
      <c r="B8" s="3131" t="str">
        <f ca="1">IF(C8&lt;B2,"已过期",1120000080)</f>
        <v>已过期</v>
      </c>
      <c r="C8" s="3133">
        <v>43849</v>
      </c>
      <c r="D8" s="3131" t="s">
        <v>1915</v>
      </c>
      <c r="E8" s="3131">
        <f ca="1">IF(F8&lt;B2,"已过期",2000110082)</f>
        <v>2000110082</v>
      </c>
      <c r="F8" s="3134">
        <v>46387</v>
      </c>
    </row>
    <row r="9" spans="1:6" ht="20.25" customHeight="1">
      <c r="A9" s="3131" t="s">
        <v>1916</v>
      </c>
      <c r="B9" s="3131" t="str">
        <f ca="1">IF(C9&lt;B2,"已过期",1419970001)</f>
        <v>已过期</v>
      </c>
      <c r="C9" s="3133">
        <v>43867</v>
      </c>
      <c r="D9" s="3131" t="s">
        <v>1916</v>
      </c>
      <c r="E9" s="3131">
        <f ca="1">IF(F9&lt;B2,"已过期",2002110125)</f>
        <v>2002110125</v>
      </c>
      <c r="F9" s="3134">
        <v>47118</v>
      </c>
    </row>
    <row r="10" spans="1:6" ht="20.25" customHeight="1">
      <c r="A10" s="3131" t="s">
        <v>1917</v>
      </c>
      <c r="B10" s="3131">
        <f ca="1">IF(C10&lt;B2,"已过期",1120060040)</f>
        <v>1120060040</v>
      </c>
      <c r="C10" s="3133">
        <v>44554</v>
      </c>
      <c r="D10" s="3131" t="s">
        <v>1917</v>
      </c>
      <c r="E10" s="3131">
        <f ca="1">IF(F10&lt;B2,"已过期",2004110096)</f>
        <v>2004110096</v>
      </c>
      <c r="F10" s="3134">
        <v>47118</v>
      </c>
    </row>
    <row r="11" spans="1:6" ht="20.25" customHeight="1">
      <c r="A11" s="3131" t="s">
        <v>1918</v>
      </c>
      <c r="B11" s="3131">
        <f ca="1">IF(C11&lt;B2,"已过期",1120100036)</f>
        <v>1120100036</v>
      </c>
      <c r="C11" s="3133">
        <v>44675</v>
      </c>
      <c r="D11" s="3131" t="s">
        <v>1918</v>
      </c>
      <c r="E11" s="3131">
        <f ca="1">IF(F11&lt;B2,"已过期",2010110070)</f>
        <v>2010110070</v>
      </c>
      <c r="F11" s="3134">
        <v>47907</v>
      </c>
    </row>
    <row r="12" spans="1:6" ht="20.25" customHeight="1">
      <c r="A12" s="3131"/>
      <c r="B12" s="3131"/>
      <c r="C12" s="3133"/>
      <c r="D12" s="3131"/>
      <c r="E12" s="3131"/>
      <c r="F12" s="3134"/>
    </row>
    <row r="13" spans="1:6" ht="20.25" customHeight="1">
      <c r="A13" s="3131" t="s">
        <v>1919</v>
      </c>
      <c r="B13" s="3131" t="str">
        <f ca="1">IF(C13&lt;B2,"已过期",1120070131)</f>
        <v>已过期</v>
      </c>
      <c r="C13" s="3133">
        <v>43814</v>
      </c>
      <c r="D13" s="3131" t="s">
        <v>1919</v>
      </c>
      <c r="E13" s="3131">
        <f ca="1">IF(F13&lt;B2,"已过期",2014110011)</f>
        <v>2014110011</v>
      </c>
      <c r="F13" s="3134">
        <v>49302</v>
      </c>
    </row>
    <row r="14" spans="1:6" ht="20.25" customHeight="1">
      <c r="A14" s="3131" t="s">
        <v>2977</v>
      </c>
      <c r="B14" s="3131" t="str">
        <f ca="1">IF(C14&lt;B2,"已过期",1120040230)</f>
        <v>已过期</v>
      </c>
      <c r="C14" s="3135">
        <v>43835</v>
      </c>
      <c r="D14" s="3136" t="s">
        <v>2978</v>
      </c>
      <c r="E14" s="3131">
        <f ca="1">IF(F14&lt;B2,"已过期",98030020)</f>
        <v>98030020</v>
      </c>
      <c r="F14" s="3134">
        <v>47118</v>
      </c>
    </row>
    <row r="15" spans="1:6" ht="20.25" customHeight="1">
      <c r="A15" s="3131" t="s">
        <v>2571</v>
      </c>
      <c r="B15" s="3131" t="str">
        <f ca="1">IF(C15&lt;B2,"已过期",1120070085)</f>
        <v>已过期</v>
      </c>
      <c r="C15" s="3135">
        <v>43814</v>
      </c>
      <c r="D15" s="3131" t="s">
        <v>2979</v>
      </c>
      <c r="E15" s="3131">
        <f ca="1">IF(F15&lt;B2,"已过期",2004110128)</f>
        <v>2004110128</v>
      </c>
      <c r="F15" s="3137">
        <v>47118</v>
      </c>
    </row>
    <row r="16" spans="1:6" ht="20.25" customHeight="1">
      <c r="A16" s="3131" t="s">
        <v>1920</v>
      </c>
      <c r="B16" s="3131" t="str">
        <f ca="1">IF(C16&lt;B2,"已过期",1120140022)</f>
        <v>已过期</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1921</v>
      </c>
      <c r="E21" s="3131">
        <f ca="1">IF(F21&lt;B2,"已过期",2011110090)</f>
        <v>2011110090</v>
      </c>
      <c r="F21" s="3134">
        <v>48302</v>
      </c>
    </row>
    <row r="22" spans="1:7" ht="20.25" customHeight="1">
      <c r="A22" s="3131" t="s">
        <v>1922</v>
      </c>
      <c r="B22" s="3131">
        <f ca="1">IF(C22&lt;B2,"已过期",1120020033)</f>
        <v>1120020033</v>
      </c>
      <c r="C22" s="3133">
        <v>44339</v>
      </c>
      <c r="D22" s="3131" t="s">
        <v>1922</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78" t="s">
        <v>1923</v>
      </c>
      <c r="B25" s="3278"/>
      <c r="C25" s="3278"/>
      <c r="D25" s="3278"/>
      <c r="E25" s="3278"/>
      <c r="F25" s="3278"/>
      <c r="G25" s="3278"/>
    </row>
    <row r="26" spans="1:7" ht="20.25" customHeight="1">
      <c r="A26" s="3279" t="s">
        <v>1924</v>
      </c>
      <c r="B26" s="3279"/>
      <c r="C26" s="3279"/>
      <c r="D26" s="3279" t="s">
        <v>1925</v>
      </c>
      <c r="E26" s="3279"/>
      <c r="F26" s="3279"/>
    </row>
    <row r="27" spans="1:7" s="3126" customFormat="1" ht="20.25" customHeight="1">
      <c r="A27" s="3140" t="s">
        <v>1926</v>
      </c>
      <c r="B27" s="3141" t="s">
        <v>1927</v>
      </c>
      <c r="C27" s="3141" t="s">
        <v>1928</v>
      </c>
      <c r="D27" s="3131" t="s">
        <v>1926</v>
      </c>
      <c r="E27" s="3141" t="s">
        <v>1927</v>
      </c>
      <c r="F27" s="3141" t="s">
        <v>1928</v>
      </c>
    </row>
    <row r="28" spans="1:7" s="3126" customFormat="1" ht="20.25" customHeight="1">
      <c r="A28" s="3142" t="s">
        <v>1929</v>
      </c>
      <c r="B28" s="3142" t="s">
        <v>1930</v>
      </c>
      <c r="C28" s="3134">
        <v>43725</v>
      </c>
      <c r="D28" s="3142" t="s">
        <v>1931</v>
      </c>
      <c r="E28" s="3142" t="s">
        <v>1932</v>
      </c>
      <c r="F28" s="3143">
        <v>44377</v>
      </c>
    </row>
    <row r="29" spans="1:7" s="3126" customFormat="1" ht="20.25" customHeight="1">
      <c r="A29" s="3142"/>
      <c r="B29" s="3142"/>
      <c r="C29" s="3144"/>
      <c r="D29" s="3142" t="s">
        <v>1933</v>
      </c>
      <c r="E29" s="3142" t="s">
        <v>2989</v>
      </c>
      <c r="F29" s="3143">
        <v>43646</v>
      </c>
    </row>
    <row r="30" spans="1:7" ht="20.25" customHeight="1">
      <c r="C30" s="3145"/>
      <c r="D30" s="3145"/>
    </row>
  </sheetData>
  <sheetProtection sheet="1" objects="1" scenarios="1"/>
  <mergeCells count="3">
    <mergeCell ref="A25:G25"/>
    <mergeCell ref="A26:C26"/>
    <mergeCell ref="D26:F26"/>
  </mergeCells>
  <phoneticPr fontId="4"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B23" sqref="B23"/>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853</v>
      </c>
      <c r="B1" s="5" t="s">
        <v>129</v>
      </c>
      <c r="C1" s="1536"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7" t="s">
        <v>2542</v>
      </c>
      <c r="R1" s="2546" t="s">
        <v>2536</v>
      </c>
      <c r="S1" s="6" t="s">
        <v>143</v>
      </c>
      <c r="T1" s="7" t="s">
        <v>144</v>
      </c>
      <c r="U1" s="6" t="s">
        <v>145</v>
      </c>
      <c r="V1" s="6" t="s">
        <v>146</v>
      </c>
      <c r="W1" s="1003" t="s">
        <v>871</v>
      </c>
    </row>
    <row r="2" spans="1:23">
      <c r="A2" s="8" t="s">
        <v>73</v>
      </c>
      <c r="B2" s="8" t="s">
        <v>147</v>
      </c>
      <c r="C2" s="1537" t="s">
        <v>1706</v>
      </c>
      <c r="D2" s="9" t="s">
        <v>74</v>
      </c>
      <c r="E2" s="9" t="s">
        <v>124</v>
      </c>
      <c r="F2" s="9" t="s">
        <v>125</v>
      </c>
      <c r="G2" s="9">
        <v>40</v>
      </c>
      <c r="H2" s="9" t="s">
        <v>126</v>
      </c>
      <c r="I2" s="9" t="s">
        <v>127</v>
      </c>
      <c r="J2" s="9" t="s">
        <v>128</v>
      </c>
      <c r="K2" s="9" t="s">
        <v>75</v>
      </c>
      <c r="L2" s="9" t="s">
        <v>75</v>
      </c>
      <c r="M2" s="9" t="s">
        <v>75</v>
      </c>
      <c r="N2" s="9" t="s">
        <v>75</v>
      </c>
      <c r="O2" s="9" t="s">
        <v>75</v>
      </c>
      <c r="P2" s="1005" t="s">
        <v>877</v>
      </c>
      <c r="Q2" s="9" t="s">
        <v>75</v>
      </c>
      <c r="R2" s="1005" t="s">
        <v>2537</v>
      </c>
      <c r="S2" s="9" t="s">
        <v>75</v>
      </c>
      <c r="T2" s="9" t="s">
        <v>76</v>
      </c>
      <c r="U2" s="9" t="s">
        <v>75</v>
      </c>
      <c r="V2" s="9" t="s">
        <v>77</v>
      </c>
      <c r="W2" s="9" t="s">
        <v>872</v>
      </c>
    </row>
    <row r="3" spans="1:23">
      <c r="A3" s="8" t="s">
        <v>78</v>
      </c>
      <c r="B3" s="10" t="s">
        <v>148</v>
      </c>
      <c r="C3" s="1538" t="s">
        <v>1707</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2538</v>
      </c>
      <c r="S3" s="9" t="s">
        <v>84</v>
      </c>
      <c r="T3" s="9" t="s">
        <v>85</v>
      </c>
      <c r="U3" s="9" t="s">
        <v>84</v>
      </c>
      <c r="V3" s="9" t="s">
        <v>86</v>
      </c>
      <c r="W3" s="9" t="s">
        <v>873</v>
      </c>
    </row>
    <row r="4" spans="1:23">
      <c r="A4" s="8" t="s">
        <v>87</v>
      </c>
      <c r="B4" s="8" t="s">
        <v>149</v>
      </c>
      <c r="C4" s="1537" t="s">
        <v>1708</v>
      </c>
      <c r="D4" s="9" t="s">
        <v>1991</v>
      </c>
      <c r="E4" s="9" t="s">
        <v>88</v>
      </c>
      <c r="F4" s="9" t="s">
        <v>89</v>
      </c>
      <c r="G4" s="9">
        <v>70</v>
      </c>
      <c r="H4" s="9" t="s">
        <v>90</v>
      </c>
      <c r="I4" s="9" t="s">
        <v>91</v>
      </c>
      <c r="K4" s="9" t="s">
        <v>92</v>
      </c>
      <c r="L4" s="9" t="s">
        <v>92</v>
      </c>
      <c r="M4" s="9" t="s">
        <v>92</v>
      </c>
      <c r="N4" s="9" t="s">
        <v>92</v>
      </c>
      <c r="O4" s="9" t="s">
        <v>92</v>
      </c>
      <c r="P4" s="1005" t="s">
        <v>757</v>
      </c>
      <c r="Q4" s="9" t="s">
        <v>92</v>
      </c>
      <c r="R4" s="1005" t="s">
        <v>2539</v>
      </c>
      <c r="S4" s="9" t="s">
        <v>92</v>
      </c>
      <c r="T4" s="9" t="s">
        <v>93</v>
      </c>
      <c r="U4" s="9" t="s">
        <v>92</v>
      </c>
      <c r="W4" s="9" t="s">
        <v>874</v>
      </c>
    </row>
    <row r="5" spans="1:23">
      <c r="A5" s="8" t="s">
        <v>94</v>
      </c>
      <c r="B5" s="8" t="s">
        <v>150</v>
      </c>
      <c r="C5" s="1537" t="s">
        <v>1709</v>
      </c>
      <c r="F5" s="9" t="s">
        <v>95</v>
      </c>
      <c r="H5" s="9" t="s">
        <v>70</v>
      </c>
      <c r="I5" s="9" t="s">
        <v>96</v>
      </c>
      <c r="K5" s="9" t="s">
        <v>97</v>
      </c>
      <c r="L5" s="9" t="s">
        <v>97</v>
      </c>
      <c r="M5" s="9" t="s">
        <v>97</v>
      </c>
      <c r="N5" s="9" t="s">
        <v>97</v>
      </c>
      <c r="O5" s="9" t="s">
        <v>97</v>
      </c>
      <c r="P5" s="1005" t="s">
        <v>543</v>
      </c>
      <c r="Q5" s="9" t="s">
        <v>97</v>
      </c>
      <c r="R5" s="1005" t="s">
        <v>2540</v>
      </c>
      <c r="S5" s="9" t="s">
        <v>97</v>
      </c>
      <c r="T5" s="9" t="s">
        <v>98</v>
      </c>
      <c r="U5" s="9" t="s">
        <v>97</v>
      </c>
      <c r="W5" s="9" t="s">
        <v>875</v>
      </c>
    </row>
    <row r="6" spans="1:23">
      <c r="A6" s="8" t="s">
        <v>99</v>
      </c>
      <c r="B6" s="1144" t="s">
        <v>1637</v>
      </c>
      <c r="C6" s="1539" t="s">
        <v>1710</v>
      </c>
      <c r="F6" s="9" t="s">
        <v>71</v>
      </c>
      <c r="H6" s="9" t="s">
        <v>72</v>
      </c>
      <c r="I6" s="9" t="s">
        <v>100</v>
      </c>
      <c r="K6" s="9" t="s">
        <v>101</v>
      </c>
      <c r="L6" s="9" t="s">
        <v>101</v>
      </c>
      <c r="M6" s="9" t="s">
        <v>101</v>
      </c>
      <c r="N6" s="9" t="s">
        <v>101</v>
      </c>
      <c r="O6" s="9" t="s">
        <v>101</v>
      </c>
      <c r="P6" s="1005" t="s">
        <v>878</v>
      </c>
      <c r="Q6" s="9" t="s">
        <v>101</v>
      </c>
      <c r="R6" s="1005" t="s">
        <v>2541</v>
      </c>
      <c r="S6" s="9" t="s">
        <v>101</v>
      </c>
      <c r="T6" s="9"/>
      <c r="U6" s="9" t="s">
        <v>101</v>
      </c>
      <c r="W6" s="9" t="s">
        <v>876</v>
      </c>
    </row>
    <row r="7" spans="1:23">
      <c r="A7" s="8" t="s">
        <v>102</v>
      </c>
      <c r="B7" s="8" t="s">
        <v>103</v>
      </c>
      <c r="C7" s="1537" t="s">
        <v>1711</v>
      </c>
      <c r="F7" s="9" t="s">
        <v>151</v>
      </c>
      <c r="H7" s="9" t="s">
        <v>104</v>
      </c>
      <c r="I7" s="9" t="s">
        <v>105</v>
      </c>
    </row>
    <row r="8" spans="1:23">
      <c r="A8" s="8" t="s">
        <v>106</v>
      </c>
      <c r="B8" s="8" t="s">
        <v>107</v>
      </c>
      <c r="C8" s="1537" t="s">
        <v>1712</v>
      </c>
      <c r="F8" s="9" t="s">
        <v>152</v>
      </c>
      <c r="H8" s="9"/>
      <c r="I8" s="9" t="s">
        <v>108</v>
      </c>
    </row>
    <row r="9" spans="1:23">
      <c r="A9" s="8" t="s">
        <v>109</v>
      </c>
      <c r="B9" s="8" t="s">
        <v>153</v>
      </c>
      <c r="C9" s="1537" t="s">
        <v>1713</v>
      </c>
      <c r="F9" s="9" t="s">
        <v>110</v>
      </c>
      <c r="H9" s="9"/>
    </row>
    <row r="10" spans="1:23">
      <c r="A10" s="8" t="s">
        <v>111</v>
      </c>
      <c r="B10" s="8" t="s">
        <v>154</v>
      </c>
      <c r="C10" s="1537" t="s">
        <v>1714</v>
      </c>
      <c r="F10" s="9" t="s">
        <v>6</v>
      </c>
    </row>
    <row r="11" spans="1:23">
      <c r="A11" s="8" t="s">
        <v>112</v>
      </c>
      <c r="B11" s="8" t="s">
        <v>155</v>
      </c>
      <c r="C11" s="1537" t="s">
        <v>1715</v>
      </c>
    </row>
    <row r="12" spans="1:23">
      <c r="A12" s="8" t="s">
        <v>113</v>
      </c>
      <c r="B12" s="8" t="s">
        <v>156</v>
      </c>
      <c r="C12" s="1537" t="s">
        <v>1716</v>
      </c>
    </row>
    <row r="13" spans="1:23">
      <c r="A13" s="8" t="s">
        <v>114</v>
      </c>
      <c r="B13" s="8" t="s">
        <v>157</v>
      </c>
      <c r="C13" s="1537" t="s">
        <v>1717</v>
      </c>
    </row>
    <row r="14" spans="1:23">
      <c r="A14" s="8" t="s">
        <v>115</v>
      </c>
      <c r="B14" s="8" t="s">
        <v>158</v>
      </c>
      <c r="C14" s="1540" t="s">
        <v>1893</v>
      </c>
    </row>
    <row r="15" spans="1:23">
      <c r="A15" s="8" t="s">
        <v>116</v>
      </c>
      <c r="B15" s="8" t="s">
        <v>1678</v>
      </c>
      <c r="C15" s="1540"/>
    </row>
    <row r="16" spans="1:23">
      <c r="A16" s="8" t="s">
        <v>117</v>
      </c>
      <c r="B16" s="8" t="s">
        <v>1679</v>
      </c>
      <c r="C16" s="1540"/>
    </row>
    <row r="17" spans="1:3">
      <c r="A17" s="8" t="s">
        <v>118</v>
      </c>
      <c r="B17" s="8" t="s">
        <v>1680</v>
      </c>
      <c r="C17" s="1540"/>
    </row>
    <row r="18" spans="1:3">
      <c r="A18" s="1144" t="s">
        <v>2996</v>
      </c>
      <c r="B18" s="3064" t="s">
        <v>2951</v>
      </c>
      <c r="C18" s="1540"/>
    </row>
    <row r="19" spans="1:3">
      <c r="A19" s="1144" t="s">
        <v>2998</v>
      </c>
      <c r="B19" s="3064" t="s">
        <v>2959</v>
      </c>
      <c r="C19" s="1540"/>
    </row>
    <row r="20" spans="1:3">
      <c r="A20" s="1144" t="s">
        <v>3000</v>
      </c>
      <c r="B20" s="3064" t="s">
        <v>2994</v>
      </c>
      <c r="C20" s="1540"/>
    </row>
    <row r="21" spans="1:3">
      <c r="A21" s="8" t="s">
        <v>119</v>
      </c>
      <c r="B21" s="3064" t="s">
        <v>3081</v>
      </c>
      <c r="C21" s="1540"/>
    </row>
    <row r="22" spans="1:3">
      <c r="A22" s="8" t="s">
        <v>120</v>
      </c>
      <c r="B22" s="8" t="s">
        <v>3259</v>
      </c>
      <c r="C22" s="1540"/>
    </row>
    <row r="23" spans="1:3">
      <c r="A23" s="8" t="s">
        <v>121</v>
      </c>
      <c r="B23" s="8" t="s">
        <v>3256</v>
      </c>
      <c r="C23" s="1540"/>
    </row>
    <row r="24" spans="1:3">
      <c r="A24" s="8" t="s">
        <v>12</v>
      </c>
      <c r="B24" s="8" t="s">
        <v>1638</v>
      </c>
      <c r="C24" s="1540"/>
    </row>
    <row r="25" spans="1:3">
      <c r="A25" s="8" t="s">
        <v>122</v>
      </c>
      <c r="B25" s="8" t="s">
        <v>1638</v>
      </c>
      <c r="C25" s="1540"/>
    </row>
    <row r="26" spans="1:3">
      <c r="A26" s="8" t="s">
        <v>123</v>
      </c>
      <c r="B26" s="8" t="s">
        <v>1638</v>
      </c>
      <c r="C26" s="1540"/>
    </row>
    <row r="27" spans="1:3">
      <c r="A27" s="8" t="s">
        <v>1638</v>
      </c>
      <c r="B27" s="8" t="s">
        <v>1638</v>
      </c>
      <c r="C27" s="1540"/>
    </row>
    <row r="28" spans="1:3">
      <c r="A28" s="8" t="s">
        <v>1638</v>
      </c>
      <c r="B28" s="8" t="s">
        <v>1638</v>
      </c>
      <c r="C28" s="1540"/>
    </row>
    <row r="29" spans="1:3">
      <c r="A29" s="8" t="s">
        <v>1638</v>
      </c>
      <c r="B29" s="8" t="s">
        <v>1638</v>
      </c>
      <c r="C29" s="1540"/>
    </row>
    <row r="30" spans="1:3">
      <c r="A30" s="8" t="s">
        <v>1638</v>
      </c>
      <c r="B30" s="8" t="s">
        <v>1638</v>
      </c>
      <c r="C30" s="1540"/>
    </row>
    <row r="31" spans="1:3">
      <c r="A31" s="8" t="s">
        <v>1638</v>
      </c>
      <c r="B31" s="8" t="s">
        <v>1638</v>
      </c>
      <c r="C31" s="1540"/>
    </row>
    <row r="32" spans="1:3">
      <c r="A32" s="8" t="s">
        <v>1638</v>
      </c>
      <c r="B32" s="8" t="s">
        <v>1638</v>
      </c>
      <c r="C32" s="1540"/>
    </row>
    <row r="33" spans="1:3">
      <c r="A33" s="8" t="s">
        <v>1638</v>
      </c>
      <c r="B33" s="8" t="s">
        <v>1638</v>
      </c>
      <c r="C33" s="1540"/>
    </row>
    <row r="34" spans="1:3">
      <c r="A34" s="8" t="s">
        <v>1638</v>
      </c>
      <c r="B34" s="8" t="s">
        <v>1638</v>
      </c>
      <c r="C34" s="1540"/>
    </row>
    <row r="35" spans="1:3">
      <c r="A35" s="8" t="s">
        <v>1638</v>
      </c>
      <c r="B35" s="8" t="s">
        <v>1638</v>
      </c>
      <c r="C35" s="1540"/>
    </row>
    <row r="36" spans="1:3">
      <c r="A36" s="8" t="s">
        <v>1638</v>
      </c>
      <c r="B36" s="8" t="s">
        <v>1638</v>
      </c>
      <c r="C36" s="1540"/>
    </row>
    <row r="37" spans="1:3">
      <c r="A37" s="8" t="s">
        <v>1638</v>
      </c>
      <c r="B37" s="8" t="s">
        <v>1638</v>
      </c>
      <c r="C37" s="1540"/>
    </row>
    <row r="38" spans="1:3">
      <c r="A38" s="8" t="s">
        <v>1638</v>
      </c>
      <c r="B38" s="8" t="s">
        <v>1638</v>
      </c>
      <c r="C38" s="1540"/>
    </row>
    <row r="39" spans="1:3">
      <c r="A39" s="8" t="s">
        <v>1638</v>
      </c>
      <c r="B39" s="8" t="s">
        <v>1638</v>
      </c>
      <c r="C39" s="1540"/>
    </row>
    <row r="40" spans="1:3">
      <c r="A40" s="8" t="s">
        <v>1638</v>
      </c>
      <c r="B40" s="8" t="s">
        <v>1638</v>
      </c>
      <c r="C40" s="1540"/>
    </row>
    <row r="41" spans="1:3">
      <c r="A41" s="8" t="s">
        <v>1638</v>
      </c>
      <c r="B41" s="8" t="s">
        <v>1638</v>
      </c>
      <c r="C41" s="1540"/>
    </row>
    <row r="42" spans="1:3">
      <c r="A42" s="8" t="s">
        <v>1638</v>
      </c>
      <c r="B42" s="8" t="s">
        <v>1638</v>
      </c>
      <c r="C42" s="1540"/>
    </row>
    <row r="43" spans="1:3">
      <c r="A43" s="8" t="s">
        <v>1638</v>
      </c>
      <c r="B43" s="8" t="s">
        <v>1638</v>
      </c>
      <c r="C43" s="1540"/>
    </row>
    <row r="44" spans="1:3">
      <c r="A44" s="8" t="s">
        <v>1638</v>
      </c>
      <c r="B44" s="8" t="s">
        <v>1638</v>
      </c>
      <c r="C44" s="1540"/>
    </row>
    <row r="45" spans="1:3">
      <c r="A45" s="8" t="s">
        <v>1638</v>
      </c>
      <c r="B45" s="8" t="s">
        <v>1638</v>
      </c>
      <c r="C45" s="1540"/>
    </row>
    <row r="46" spans="1:3">
      <c r="A46" s="8" t="s">
        <v>1638</v>
      </c>
      <c r="B46" s="8" t="s">
        <v>1638</v>
      </c>
      <c r="C46" s="1540"/>
    </row>
    <row r="47" spans="1:3">
      <c r="A47" s="8" t="s">
        <v>1638</v>
      </c>
      <c r="B47" s="8" t="s">
        <v>1638</v>
      </c>
      <c r="C47" s="1540"/>
    </row>
    <row r="48" spans="1:3">
      <c r="A48" s="8" t="s">
        <v>1638</v>
      </c>
      <c r="B48" s="8" t="s">
        <v>1638</v>
      </c>
      <c r="C48" s="1540"/>
    </row>
    <row r="49" spans="1:5">
      <c r="A49" s="8" t="s">
        <v>1638</v>
      </c>
      <c r="B49" s="8" t="s">
        <v>1638</v>
      </c>
      <c r="C49" s="1540"/>
    </row>
    <row r="50" spans="1:5">
      <c r="A50" s="8" t="s">
        <v>1638</v>
      </c>
      <c r="B50" s="8" t="s">
        <v>1638</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80"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2"/>
      <c r="E53" s="1752"/>
    </row>
    <row r="54" spans="1:5">
      <c r="A54" s="3280"/>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0"/>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0"/>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0"/>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4"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剩余法（停车场0.1)</vt:lpstr>
      <vt:lpstr>剩余法-现房</vt:lpstr>
      <vt:lpstr>比较法-住宅、综合</vt:lpstr>
      <vt:lpstr>比较法-工业</vt:lpstr>
      <vt:lpstr>基准地价（娱乐）</vt:lpstr>
      <vt:lpstr>修正</vt:lpstr>
      <vt:lpstr>区片价</vt:lpstr>
      <vt:lpstr>容积率修正</vt:lpstr>
      <vt:lpstr>因素修正幅度</vt:lpstr>
      <vt:lpstr>基准地价（旅馆）</vt:lpstr>
      <vt:lpstr>基准地价（停车场0.3)</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中指案例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'基准地价（旅馆）'!季度</vt:lpstr>
      <vt:lpstr>'基准地价（停车场0.3)'!季度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2020-08-04T03:02:42Z</dcterms:modified>
</cp:coreProperties>
</file>