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2"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拆分价值" sheetId="82"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 sheetId="43"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 name="Sheet1" sheetId="80"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2">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82" l="1"/>
  <c r="C5" i="82"/>
  <c r="C4" i="82"/>
  <c r="C3" i="82"/>
  <c r="D5" i="82"/>
  <c r="M5" i="82" s="1"/>
  <c r="D4" i="82"/>
  <c r="M4" i="82" s="1"/>
  <c r="D3" i="82"/>
  <c r="D6" i="82" s="1"/>
  <c r="M3" i="82" l="1"/>
  <c r="I91" i="9"/>
  <c r="C88" i="9"/>
  <c r="M6" i="82" l="1"/>
  <c r="N3" i="82"/>
  <c r="N18" i="1"/>
  <c r="N4" i="82" l="1"/>
  <c r="N5" i="82"/>
  <c r="C14" i="74"/>
  <c r="B14" i="74"/>
  <c r="W25" i="1"/>
  <c r="W23" i="1"/>
  <c r="W22" i="1"/>
  <c r="W21" i="1"/>
  <c r="U22" i="1"/>
  <c r="U23" i="1"/>
  <c r="U24" i="1"/>
  <c r="U21" i="1"/>
  <c r="N20" i="1"/>
  <c r="N6" i="1" s="1"/>
  <c r="K31" i="1"/>
  <c r="K33" i="1" s="1"/>
  <c r="M33" i="1" s="1"/>
  <c r="M32" i="1"/>
  <c r="P34" i="1"/>
  <c r="P37" i="1" s="1"/>
  <c r="R37" i="1" s="1"/>
  <c r="P36" i="1"/>
  <c r="R36" i="1" s="1"/>
  <c r="R35" i="1"/>
  <c r="P29" i="1"/>
  <c r="R27" i="1"/>
  <c r="R26" i="1"/>
  <c r="P27" i="1"/>
  <c r="P26" i="1"/>
  <c r="R25" i="1"/>
  <c r="R24" i="1"/>
  <c r="P23" i="1"/>
  <c r="P24" i="1"/>
  <c r="W24" i="1" l="1"/>
  <c r="K30" i="1"/>
  <c r="K36" i="1" s="1"/>
  <c r="M31" i="1"/>
  <c r="M30" i="1" s="1"/>
  <c r="K34" i="1"/>
  <c r="M34" i="1" s="1"/>
  <c r="P33" i="1"/>
  <c r="P39" i="1" s="1"/>
  <c r="R34" i="1"/>
  <c r="R33" i="1" s="1"/>
  <c r="Q33" i="1" s="1"/>
  <c r="R23" i="1"/>
  <c r="Q23" i="1" s="1"/>
  <c r="W26" i="1" l="1"/>
  <c r="V26" i="1" s="1"/>
  <c r="V24" i="1"/>
  <c r="M36" i="1"/>
  <c r="L36" i="1" s="1"/>
  <c r="L23" i="1" s="1"/>
  <c r="L30" i="1"/>
  <c r="R39" i="1"/>
  <c r="Q39" i="1" s="1"/>
  <c r="L22" i="1" s="1"/>
  <c r="R29" i="1"/>
  <c r="Q29" i="1" s="1"/>
  <c r="L21" i="1" s="1"/>
  <c r="K24" i="1" l="1"/>
  <c r="M22" i="1"/>
  <c r="M23" i="1"/>
  <c r="M21" i="1"/>
  <c r="K23" i="1"/>
  <c r="K22" i="1"/>
  <c r="K21" i="1"/>
  <c r="Y6" i="1"/>
  <c r="G84" i="43"/>
  <c r="G85" i="43"/>
  <c r="G86" i="43"/>
  <c r="G87" i="43"/>
  <c r="G88" i="43"/>
  <c r="G89" i="43"/>
  <c r="G90" i="43"/>
  <c r="G83" i="43"/>
  <c r="D33" i="43"/>
  <c r="B59" i="1"/>
  <c r="B21" i="1"/>
  <c r="F19" i="6"/>
  <c r="D3" i="4"/>
  <c r="M24" i="1" l="1"/>
  <c r="L24"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AZ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B8" i="76"/>
  <c r="D7" i="73"/>
  <c r="F40" i="67"/>
  <c r="F43" i="67"/>
  <c r="M6" i="15"/>
  <c r="B11" i="76"/>
  <c r="L47" i="15"/>
  <c r="M23" i="67"/>
  <c r="F42" i="15"/>
  <c r="M29" i="15"/>
  <c r="E10" i="76"/>
  <c r="F7" i="15"/>
  <c r="F43" i="15"/>
  <c r="F42" i="67"/>
  <c r="M9" i="15"/>
  <c r="F26" i="67"/>
  <c r="M8" i="15"/>
  <c r="M28" i="67"/>
  <c r="M23" i="15"/>
  <c r="F6" i="67"/>
  <c r="D3" i="73"/>
  <c r="E2" i="69"/>
  <c r="F6" i="73"/>
  <c r="B9" i="76"/>
  <c r="F13" i="15"/>
  <c r="M28" i="15"/>
  <c r="D5" i="73"/>
  <c r="M8" i="67"/>
  <c r="M24" i="67"/>
  <c r="E8" i="76"/>
  <c r="B7" i="76"/>
  <c r="F37" i="67"/>
  <c r="F9" i="67"/>
  <c r="M24" i="15"/>
  <c r="F8" i="15"/>
  <c r="F8" i="67"/>
  <c r="M6" i="67"/>
  <c r="M22" i="15"/>
  <c r="M22" i="67"/>
  <c r="M29" i="67"/>
  <c r="F3" i="73"/>
  <c r="F38" i="15"/>
  <c r="D4" i="73"/>
  <c r="M9" i="67"/>
  <c r="L47" i="67"/>
  <c r="B13" i="76"/>
  <c r="F4" i="73"/>
  <c r="M26" i="67"/>
  <c r="F5" i="73"/>
  <c r="E7" i="76"/>
  <c r="F36" i="15"/>
  <c r="C76" i="15"/>
  <c r="B10" i="76"/>
  <c r="F37" i="15"/>
  <c r="AO13" i="1"/>
  <c r="F7" i="67"/>
  <c r="F16" i="67"/>
  <c r="E12" i="76"/>
  <c r="E9" i="76"/>
  <c r="F7" i="73"/>
  <c r="E2" i="68"/>
  <c r="B12" i="76"/>
  <c r="D6" i="73"/>
  <c r="F38" i="67"/>
  <c r="F6" i="15"/>
  <c r="L48" i="67"/>
  <c r="F16" i="15"/>
  <c r="E13" i="76"/>
  <c r="E11" i="76"/>
  <c r="F20" i="31"/>
  <c r="F9" i="15"/>
  <c r="C76" i="67"/>
  <c r="F40" i="15"/>
  <c r="F36" i="67"/>
  <c r="L48" i="15"/>
  <c r="F13" i="67"/>
  <c r="M26" i="15"/>
  <c r="F26" i="15"/>
  <c r="J15" i="15"/>
  <c r="C24" i="12" l="1"/>
  <c r="M18" i="15"/>
  <c r="M18" i="67"/>
  <c r="F30" i="11"/>
  <c r="C48" i="11" s="1"/>
  <c r="C40" i="69"/>
  <c r="G22" i="69"/>
  <c r="G28" i="6"/>
  <c r="BL5" i="3"/>
  <c r="G5" i="3"/>
  <c r="B3" i="3" s="1"/>
  <c r="E173" i="3"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36" i="3"/>
  <c r="E157" i="3"/>
  <c r="E224" i="3"/>
  <c r="E529" i="3"/>
  <c r="E474" i="3"/>
  <c r="W6" i="3"/>
  <c r="E537" i="3"/>
  <c r="E54" i="3"/>
  <c r="E168" i="3"/>
  <c r="E357" i="3"/>
  <c r="E14" i="3"/>
  <c r="E196" i="3"/>
  <c r="E207" i="3"/>
  <c r="U6" i="3"/>
  <c r="E411" i="3"/>
  <c r="E367" i="3"/>
  <c r="E547" i="3"/>
  <c r="E71" i="3"/>
  <c r="E92" i="3"/>
  <c r="E291" i="3"/>
  <c r="E317"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H26" i="43" l="1"/>
  <c r="E29" i="3"/>
  <c r="E272" i="3"/>
  <c r="E546" i="3"/>
  <c r="E432" i="3"/>
  <c r="E379" i="3"/>
  <c r="E397" i="3"/>
  <c r="E257" i="3"/>
  <c r="E475" i="3"/>
  <c r="E288" i="3"/>
  <c r="E532" i="3"/>
  <c r="E306" i="3"/>
  <c r="E122" i="3"/>
  <c r="E59" i="40"/>
  <c r="AM6" i="3"/>
  <c r="E126" i="3"/>
  <c r="E403" i="3"/>
  <c r="E548" i="3"/>
  <c r="E145" i="3"/>
  <c r="E93" i="3"/>
  <c r="E208" i="3"/>
  <c r="E471" i="3"/>
  <c r="E438" i="3"/>
  <c r="E313" i="3"/>
  <c r="E352" i="3"/>
  <c r="E296"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9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05" i="3"/>
  <c r="E510" i="3"/>
  <c r="E539" i="3"/>
  <c r="E244" i="3"/>
  <c r="E223"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41" i="3"/>
  <c r="E19" i="3"/>
  <c r="E179" i="3"/>
  <c r="E323" i="3"/>
  <c r="E373" i="3"/>
  <c r="E329" i="3"/>
  <c r="E536" i="3"/>
  <c r="E149" i="3"/>
  <c r="E116" i="3"/>
  <c r="E286" i="3"/>
  <c r="E575" i="3"/>
  <c r="R6" i="3"/>
  <c r="E165" i="3"/>
  <c r="E188" i="3"/>
  <c r="E212"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Y6" i="3"/>
  <c r="E51" i="3"/>
  <c r="E154" i="3"/>
  <c r="E222" i="3"/>
  <c r="E82" i="3"/>
  <c r="E16" i="3"/>
  <c r="E148" i="3"/>
  <c r="E167"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42" i="3"/>
  <c r="E449" i="3"/>
  <c r="E554" i="3"/>
  <c r="E417" i="3"/>
  <c r="E95" i="3"/>
  <c r="E258" i="3"/>
  <c r="E349" i="3"/>
  <c r="E59" i="3"/>
  <c r="E467" i="3"/>
  <c r="E160" i="3"/>
  <c r="E249" i="3"/>
  <c r="E492" i="3"/>
  <c r="E33" i="3"/>
  <c r="E355" i="3"/>
  <c r="E81" i="3"/>
  <c r="E309" i="3"/>
  <c r="I3" i="6"/>
  <c r="E292" i="3"/>
  <c r="E184" i="3"/>
  <c r="E21" i="3"/>
  <c r="E502" i="3"/>
  <c r="E430" i="3"/>
  <c r="AP6" i="3"/>
  <c r="E491" i="3"/>
  <c r="E37" i="3"/>
  <c r="E192" i="3"/>
  <c r="E363" i="3"/>
  <c r="E76" i="3"/>
  <c r="E425" i="3"/>
  <c r="E103" i="3"/>
  <c r="E267" i="3"/>
  <c r="E310" i="3"/>
  <c r="E67" i="3"/>
  <c r="E233" i="3"/>
  <c r="E63" i="3"/>
  <c r="E283" i="3"/>
  <c r="E466" i="3"/>
  <c r="E255" i="3"/>
  <c r="E517" i="3"/>
  <c r="E479" i="3"/>
  <c r="E152" i="3"/>
  <c r="E241" i="3"/>
  <c r="E389" i="3"/>
  <c r="E409" i="3"/>
  <c r="E64" i="3"/>
  <c r="E142" i="3"/>
  <c r="E300" i="3"/>
  <c r="E23" i="3"/>
  <c r="E144" i="3"/>
  <c r="E381" i="3"/>
  <c r="E118" i="3"/>
  <c r="E513" i="3"/>
  <c r="E499" i="3"/>
  <c r="E541" i="3"/>
  <c r="E435" i="3"/>
  <c r="E56" i="3"/>
  <c r="E132" i="3"/>
  <c r="E544" i="3"/>
  <c r="E484" i="3"/>
  <c r="E46" i="3"/>
  <c r="E200" i="3"/>
  <c r="E371" i="3"/>
  <c r="E84" i="3"/>
  <c r="E68" i="3"/>
  <c r="E264"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40" i="3"/>
  <c r="E15" i="3"/>
  <c r="N370" i="46"/>
  <c r="E26" i="43"/>
  <c r="F26" i="43"/>
  <c r="G26" i="43"/>
  <c r="N94"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D26" i="43" l="1"/>
  <c r="C25" i="43" s="1"/>
  <c r="C3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B3" i="43"/>
  <c r="C6" i="68"/>
  <c r="C7" i="68" s="1"/>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D35" i="9"/>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AO7" i="1"/>
  <c r="AO8"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G4" i="82" l="1"/>
  <c r="G5" i="82"/>
  <c r="H5" i="82" s="1"/>
  <c r="G3" i="82"/>
  <c r="H3" i="82" s="1"/>
  <c r="D119" i="9"/>
  <c r="D5" i="52" s="1"/>
  <c r="B49" i="72" s="1"/>
  <c r="G118" i="9"/>
  <c r="G4" i="52" s="1"/>
  <c r="B52" i="72" s="1"/>
  <c r="H119" i="9"/>
  <c r="H5" i="52" s="1"/>
  <c r="D14" i="74"/>
  <c r="F119" i="9"/>
  <c r="H101" i="9"/>
  <c r="H107" i="9" s="1"/>
  <c r="I118" i="9"/>
  <c r="H102" i="9" s="1"/>
  <c r="F4" i="52"/>
  <c r="B51" i="72" s="1"/>
  <c r="H4" i="52"/>
  <c r="C104" i="9"/>
  <c r="D4" i="52"/>
  <c r="B47" i="72" s="1"/>
  <c r="F5" i="52" l="1"/>
  <c r="B53" i="72" s="1"/>
  <c r="H4" i="82"/>
  <c r="D5" i="53"/>
  <c r="B20" i="72" s="1"/>
  <c r="F14" i="74"/>
  <c r="B5" i="74"/>
  <c r="D5" i="74" s="1"/>
  <c r="E14" i="74"/>
  <c r="C105" i="9"/>
  <c r="D7" i="53"/>
  <c r="B21" i="72" s="1"/>
  <c r="I4" i="52"/>
  <c r="M48" i="9"/>
  <c r="D45" i="9"/>
  <c r="E118" i="9"/>
  <c r="D122" i="9"/>
  <c r="G14" i="74" s="1"/>
  <c r="B6" i="74" s="1"/>
  <c r="D6" i="74" s="1"/>
  <c r="H108" i="9"/>
  <c r="M49" i="9"/>
  <c r="D13" i="53"/>
  <c r="G6" i="82" l="1"/>
  <c r="H6" i="82" s="1"/>
  <c r="F4" i="82"/>
  <c r="E4" i="82" s="1"/>
  <c r="I4" i="82" s="1"/>
  <c r="F5" i="82"/>
  <c r="E4" i="52"/>
  <c r="B48" i="72" s="1"/>
  <c r="F3" i="82"/>
  <c r="E3" i="82" s="1"/>
  <c r="I3" i="82" s="1"/>
  <c r="D6" i="53"/>
  <c r="B22" i="72" s="1"/>
  <c r="C5" i="74"/>
  <c r="D53" i="9"/>
  <c r="D52" i="9"/>
  <c r="D55" i="9"/>
  <c r="M53" i="9" s="1"/>
  <c r="C85" i="9"/>
  <c r="C72" i="9"/>
  <c r="C78" i="9"/>
  <c r="C73" i="9" s="1"/>
  <c r="C93" i="9"/>
  <c r="C86" i="9" s="1"/>
  <c r="C64" i="9"/>
  <c r="C63" i="9" s="1"/>
  <c r="C67" i="9" s="1"/>
  <c r="L67" i="9"/>
  <c r="M67" i="9" s="1"/>
  <c r="L64" i="9"/>
  <c r="M64" i="9" s="1"/>
  <c r="L65" i="9"/>
  <c r="M65" i="9" s="1"/>
  <c r="L68" i="9"/>
  <c r="M68" i="9" s="1"/>
  <c r="L66" i="9"/>
  <c r="M66" i="9" s="1"/>
  <c r="L63" i="9"/>
  <c r="M63" i="9" s="1"/>
  <c r="D15" i="53"/>
  <c r="B31" i="72" s="1"/>
  <c r="C6" i="74"/>
  <c r="D8" i="52"/>
  <c r="D123" i="9"/>
  <c r="D9" i="52" s="1"/>
  <c r="D14" i="53"/>
  <c r="B32" i="72" s="1"/>
  <c r="B30" i="72"/>
  <c r="J4" i="82" l="1"/>
  <c r="J3" i="82"/>
  <c r="E5" i="82"/>
  <c r="D59" i="9"/>
  <c r="M55" i="9" s="1"/>
  <c r="C68" i="9"/>
  <c r="D54" i="9" s="1"/>
  <c r="D48" i="9" s="1"/>
  <c r="M52" i="9" s="1"/>
  <c r="C95" i="9"/>
  <c r="M69" i="9"/>
  <c r="N69" i="9" s="1"/>
  <c r="C79" i="9"/>
  <c r="C80" i="9" s="1"/>
  <c r="E80" i="9" s="1"/>
  <c r="E81" i="9" s="1"/>
  <c r="E6" i="82" l="1"/>
  <c r="F6" i="82" s="1"/>
  <c r="I5" i="82"/>
  <c r="C81" i="9"/>
  <c r="C96" i="9"/>
  <c r="E96" i="9" s="1"/>
  <c r="E97" i="9" s="1"/>
  <c r="J5" i="82" l="1"/>
  <c r="I6" i="82"/>
  <c r="C97" i="9"/>
  <c r="D58" i="9" s="1"/>
  <c r="D56" i="9" s="1"/>
  <c r="M54" i="9" s="1"/>
  <c r="N57" i="9" s="1"/>
  <c r="N59" i="9" s="1"/>
  <c r="H111" i="9" s="1"/>
  <c r="J6" i="82" l="1"/>
  <c r="D126" i="9"/>
  <c r="D19" i="53"/>
  <c r="N58" i="9"/>
  <c r="P57" i="9"/>
  <c r="N61" i="9"/>
  <c r="H112" i="9" s="1"/>
  <c r="N60" i="9"/>
  <c r="K4" i="82" l="1"/>
  <c r="I14" i="74"/>
  <c r="B8" i="74" s="1"/>
  <c r="D8" i="74" s="1"/>
  <c r="K3" i="82"/>
  <c r="K5" i="82"/>
  <c r="B38" i="72"/>
  <c r="D20" i="53"/>
  <c r="B40" i="72" s="1"/>
  <c r="C8" i="74"/>
  <c r="D21" i="53"/>
  <c r="B39" i="72" s="1"/>
  <c r="D127" i="9"/>
  <c r="D13" i="52" s="1"/>
  <c r="D12" i="52"/>
  <c r="K6" i="8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<sst xmlns="http://schemas.openxmlformats.org/spreadsheetml/2006/main" count="7904" uniqueCount="3464">
  <si>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</si>
  <si>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</si>
  <si>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</si>
  <si>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</si>
  <si>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</si>
  <si>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</si>
  <si>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</si>
  <si>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</si>
  <si>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</si>
  <si>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</si>
  <si>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</si>
  <si>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</si>
  <si>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</si>
  <si>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</si>
  <si>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</si>
  <si>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</si>
  <si>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</si>
  <si>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</si>
  <si>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</si>
  <si>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</si>
  <si>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</si>
  <si>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</si>
  <si>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</si>
  <si>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</si>
  <si>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</si>
  <si>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</si>
  <si>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</si>
  <si>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</si>
  <si>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</si>
  <si>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</si>
  <si>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</si>
  <si>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</si>
  <si>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</si>
  <si>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</si>
  <si>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</si>
  <si>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</si>
  <si>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</si>
  <si>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</si>
  <si>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</si>
  <si>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</si>
  <si>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</si>
  <si>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</si>
  <si>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</si>
  <si>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</si>
  <si>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</si>
  <si>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</si>
  <si>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</si>
  <si>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</si>
  <si>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</si>
  <si>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</si>
  <si>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</si>
  <si>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</si>
  <si>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</si>
  <si>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</si>
  <si>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</si>
  <si>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</si>
  <si>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</si>
  <si>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</si>
  <si>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</si>
  <si>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</si>
  <si>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</si>
  <si>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</si>
  <si>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</si>
  <si>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</si>
  <si>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</si>
  <si>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</si>
  <si>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</si>
  <si>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</si>
  <si>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</si>
  <si>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</si>
  <si>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</si>
  <si>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</si>
  <si>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</si>
  <si>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</si>
  <si>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</si>
  <si>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</si>
  <si>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</si>
  <si>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</si>
  <si>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</si>
  <si>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</si>
  <si>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</si>
  <si>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</si>
  <si>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</si>
  <si>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</si>
  <si>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</si>
  <si>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</si>
  <si>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</si>
  <si>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</si>
  <si>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</si>
  <si>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</si>
  <si>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</si>
  <si>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</si>
  <si>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</si>
  <si>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</si>
  <si>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</si>
  <si>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</si>
  <si>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</si>
  <si>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</si>
  <si>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</si>
  <si>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</si>
  <si>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</si>
  <si>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</si>
  <si>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</si>
  <si>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</si>
  <si>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</si>
  <si>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</si>
  <si>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</si>
  <si>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</si>
  <si>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</si>
  <si>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</si>
  <si>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</si>
  <si>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</si>
  <si>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</si>
  <si>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</si>
  <si>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</si>
  <si>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</si>
  <si>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</si>
  <si>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</si>
  <si>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</si>
  <si>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</si>
  <si>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</si>
  <si>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</si>
  <si>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</si>
  <si>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</si>
  <si>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</si>
  <si>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</si>
  <si>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</si>
  <si>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</si>
  <si>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</si>
  <si>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</si>
  <si>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</si>
  <si>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</si>
  <si>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</si>
  <si>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</si>
  <si>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</si>
  <si>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</si>
  <si>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</si>
  <si>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</si>
  <si>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</si>
  <si>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</si>
  <si>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</si>
  <si>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</si>
  <si>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</si>
  <si>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</si>
  <si>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</si>
  <si>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</si>
  <si>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</si>
  <si>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</si>
  <si>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</si>
  <si>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</si>
  <si>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</si>
  <si>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</si>
  <si>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</si>
  <si>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</si>
  <si>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</si>
  <si>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</si>
  <si>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</si>
  <si>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</si>
  <si>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</si>
  <si>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</si>
  <si>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</si>
  <si>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</si>
  <si>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</si>
  <si>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</si>
  <si>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</si>
  <si>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</si>
  <si>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</si>
  <si>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</si>
  <si>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</si>
  <si>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</si>
  <si>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</si>
  <si>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</si>
  <si>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</si>
  <si>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</si>
  <si>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</si>
  <si>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</si>
  <si>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</si>
  <si>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</si>
  <si>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</si>
  <si>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</si>
  <si>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</si>
  <si>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</si>
  <si>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</si>
  <si>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</si>
  <si>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</si>
  <si>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</si>
  <si>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</si>
  <si>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</si>
  <si>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</si>
  <si>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</si>
  <si>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</si>
  <si>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</si>
  <si>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</si>
  <si>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</si>
  <si>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</si>
  <si>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</si>
  <si>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</si>
  <si>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</si>
  <si>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</si>
  <si>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</si>
  <si>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</si>
  <si>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</si>
  <si>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</si>
  <si>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</si>
  <si>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</si>
  <si>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</si>
  <si>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</si>
  <si>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</si>
  <si>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</si>
  <si>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</si>
  <si>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</si>
  <si>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</si>
  <si>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</si>
  <si>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</si>
  <si>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</si>
  <si>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</si>
  <si>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</si>
  <si>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</si>
  <si>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</si>
  <si>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</si>
  <si>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</si>
  <si>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</si>
  <si>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</si>
  <si>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</si>
  <si>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</si>
  <si>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</si>
  <si>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</si>
  <si>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</si>
  <si>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</si>
  <si>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</si>
  <si>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</si>
  <si>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</si>
  <si>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</si>
  <si>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</si>
  <si>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</si>
  <si>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</si>
  <si>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</si>
  <si>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</si>
  <si>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</si>
  <si>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</si>
  <si>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</si>
  <si>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</si>
  <si>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</si>
  <si>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</si>
  <si>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</si>
  <si>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</si>
  <si>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</si>
  <si>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</si>
  <si>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</si>
  <si>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</si>
  <si>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</si>
  <si>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</si>
  <si>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</si>
  <si>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</si>
  <si>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</si>
  <si>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</si>
  <si>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</si>
  <si>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</si>
  <si>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</si>
  <si>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</si>
  <si>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</si>
  <si>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</si>
  <si>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</si>
  <si>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</si>
  <si>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</si>
  <si>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</si>
  <si>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</si>
  <si>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</si>
  <si>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</si>
  <si>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</si>
  <si>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</si>
  <si>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</si>
  <si>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</si>
  <si>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</si>
  <si>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</si>
  <si>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</si>
  <si>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</si>
  <si>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</si>
  <si>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</si>
  <si>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</si>
  <si>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</si>
  <si>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</si>
  <si>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</si>
  <si>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</si>
  <si>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</si>
  <si>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</si>
  <si>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</si>
  <si>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</si>
  <si>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</si>
  <si>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</si>
  <si>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</si>
  <si>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</si>
  <si>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</si>
  <si>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</si>
  <si>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</si>
  <si>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</si>
  <si>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</si>
  <si>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</si>
  <si>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</si>
  <si>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</si>
  <si>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</si>
  <si>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</si>
  <si>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</si>
  <si>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</si>
  <si>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</si>
  <si>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</si>
  <si>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</si>
  <si>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</si>
  <si>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</si>
  <si>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</si>
  <si>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</si>
  <si>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</si>
  <si>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</si>
  <si>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</si>
  <si>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</si>
  <si>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</si>
  <si>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</si>
  <si>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</si>
  <si>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</si>
  <si>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</si>
  <si>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</si>
  <si>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</si>
  <si>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</si>
  <si>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</si>
  <si>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</si>
  <si>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</si>
  <si>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</si>
  <si>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</si>
  <si>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</si>
  <si>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</si>
  <si>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</si>
  <si>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</si>
  <si>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</si>
  <si>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</si>
  <si>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</si>
  <si>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</si>
  <si>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</si>
  <si>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</si>
  <si>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</si>
  <si>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</si>
  <si>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</si>
  <si>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</si>
  <si>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</si>
  <si>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</si>
  <si>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</si>
  <si>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</si>
  <si>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</si>
  <si>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</si>
  <si>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</si>
  <si>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</si>
  <si>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</si>
  <si>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</si>
  <si>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</si>
  <si>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</si>
  <si>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</si>
  <si>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</si>
  <si>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</si>
  <si>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</si>
  <si>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</si>
  <si>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</si>
  <si>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</si>
  <si>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</si>
  <si>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</si>
  <si>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</si>
  <si>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</si>
  <si>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</si>
  <si>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</si>
  <si>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</si>
  <si>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</si>
  <si>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</si>
  <si>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</si>
  <si>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</si>
  <si>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</si>
  <si>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</si>
  <si>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</si>
  <si>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</si>
  <si>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</si>
  <si>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</si>
  <si>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</si>
  <si>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</si>
  <si>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</si>
  <si>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</si>
  <si>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</si>
  <si>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</si>
  <si>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</si>
  <si>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</si>
  <si>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</si>
  <si>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</si>
  <si>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</si>
  <si>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</si>
  <si>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</si>
  <si>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</si>
  <si>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</si>
  <si>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</si>
  <si>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</si>
  <si>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</si>
  <si>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</si>
  <si>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</si>
  <si>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</si>
  <si>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</si>
  <si>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</si>
  <si>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</si>
  <si>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</si>
  <si>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</si>
  <si>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</si>
  <si>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</si>
  <si>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</si>
  <si>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</si>
  <si>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</si>
  <si>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</si>
  <si>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</si>
  <si>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</si>
  <si>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</si>
  <si>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</si>
  <si>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</si>
  <si>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</si>
  <si>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</si>
  <si>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</si>
  <si>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</si>
  <si>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</si>
  <si>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</si>
  <si>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</si>
  <si>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</si>
  <si>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</si>
  <si>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</si>
  <si>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</si>
  <si>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</si>
  <si>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</si>
  <si>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</si>
  <si>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</si>
  <si>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</si>
  <si>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</si>
  <si>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</si>
  <si>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</si>
  <si>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</si>
  <si>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</si>
  <si>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</si>
  <si>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</si>
  <si>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</si>
  <si>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</si>
  <si>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</si>
  <si>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</si>
  <si>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</si>
  <si>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</si>
  <si>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</si>
  <si>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</si>
  <si>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</si>
  <si>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</si>
  <si>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</si>
  <si>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</si>
  <si>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</si>
  <si>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</si>
  <si>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</si>
  <si>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</si>
  <si>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</si>
  <si>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</si>
  <si>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</si>
  <si>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</si>
  <si>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</si>
  <si>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</si>
  <si>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</si>
  <si>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</si>
  <si>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</si>
  <si>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</si>
  <si>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</si>
  <si>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</si>
  <si>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</si>
  <si>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</si>
  <si>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</si>
  <si>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</si>
  <si>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</si>
  <si>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</si>
  <si>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</si>
  <si>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</si>
  <si>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</si>
  <si>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</si>
  <si>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</si>
  <si>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</si>
  <si>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</si>
  <si>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</si>
  <si>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</si>
  <si>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</si>
  <si>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</si>
  <si>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</si>
  <si>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</si>
  <si>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</si>
  <si>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</si>
  <si>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</si>
  <si>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</si>
  <si>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</si>
  <si>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</si>
  <si>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</si>
  <si>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</si>
  <si>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</si>
  <si>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</si>
  <si>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</si>
  <si>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</si>
  <si>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</si>
  <si>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</si>
  <si>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</si>
  <si>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</si>
  <si>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</si>
  <si>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</si>
  <si>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</si>
  <si>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</si>
  <si>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</si>
  <si>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</si>
  <si>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</si>
  <si>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</si>
  <si>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</si>
  <si>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</si>
  <si>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</si>
  <si>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</si>
  <si>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</si>
  <si>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</si>
  <si>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</si>
  <si>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</si>
  <si>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</si>
  <si>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</si>
  <si>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</si>
  <si>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</si>
  <si>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</si>
  <si>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</si>
  <si>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</si>
  <si>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</si>
  <si>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</si>
  <si>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</si>
  <si>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</si>
  <si>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</si>
  <si>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</si>
  <si>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</si>
  <si>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</si>
  <si>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</si>
  <si>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</si>
  <si>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</si>
  <si>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</si>
  <si>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</si>
  <si>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</si>
  <si>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</si>
  <si>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</si>
  <si>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</si>
  <si>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</si>
  <si>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</si>
  <si>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</si>
  <si>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</si>
  <si>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</si>
  <si>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</si>
  <si>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</si>
  <si>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</si>
  <si>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</si>
  <si>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</si>
  <si>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</si>
  <si>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</si>
  <si>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</si>
  <si>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</si>
  <si>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</si>
  <si>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</si>
  <si>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</si>
  <si>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</si>
  <si>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</si>
  <si>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</si>
  <si>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</si>
  <si>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</si>
  <si>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</si>
  <si>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</si>
  <si>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</si>
  <si>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</si>
  <si>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</si>
  <si>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</si>
  <si>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</si>
  <si>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</si>
  <si>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</si>
  <si>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</si>
  <si>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</si>
  <si>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</si>
  <si>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</si>
  <si>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</si>
  <si>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</si>
  <si>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</si>
  <si>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</si>
  <si>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</si>
  <si>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</si>
  <si>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</si>
  <si>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</si>
  <si>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</si>
  <si>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</si>
  <si>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</si>
  <si>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</si>
  <si>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</si>
  <si>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</si>
  <si>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</si>
  <si>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</si>
  <si>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</si>
  <si>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</si>
  <si>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</si>
  <si>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</si>
  <si>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</si>
  <si>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</si>
  <si>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</si>
  <si>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</si>
  <si>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</si>
  <si>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</si>
  <si>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</si>
  <si>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</si>
  <si>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</si>
  <si>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</si>
  <si>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</si>
  <si>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</si>
  <si>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</si>
  <si>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</si>
  <si>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</si>
  <si>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</si>
  <si>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</si>
  <si>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</si>
  <si>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</si>
  <si>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</si>
  <si>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</si>
  <si>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</si>
  <si>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</si>
  <si>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</si>
  <si>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</si>
  <si>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</si>
  <si>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</si>
  <si>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</si>
  <si>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</si>
  <si>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</si>
  <si>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</si>
  <si>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</si>
  <si>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</si>
  <si>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</si>
  <si>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</si>
  <si>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</si>
  <si>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</si>
  <si>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</si>
  <si>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</si>
  <si>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</si>
  <si>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</si>
  <si>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</si>
  <si>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</si>
  <si>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</si>
  <si>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</si>
  <si>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</si>
  <si>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</si>
  <si>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</si>
  <si>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</si>
  <si>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</si>
  <si>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</si>
  <si>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</si>
  <si>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</si>
  <si>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</si>
  <si>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</si>
  <si>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</si>
  <si>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</si>
  <si>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</si>
  <si>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</si>
  <si>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</si>
  <si>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</si>
  <si>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</si>
  <si>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</si>
  <si>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</si>
  <si>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</si>
  <si>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</si>
  <si>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</si>
  <si>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</si>
  <si>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</si>
  <si>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</si>
  <si>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</si>
  <si>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</si>
  <si>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</si>
  <si>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</si>
  <si>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</si>
  <si>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</si>
  <si>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</si>
  <si>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</si>
  <si>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</si>
  <si>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</si>
  <si>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</si>
  <si>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</si>
  <si>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</si>
  <si>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</si>
  <si>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</si>
  <si>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</si>
  <si>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</si>
  <si>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</si>
  <si>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</si>
  <si>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</si>
  <si>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</si>
  <si>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</si>
  <si>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</si>
  <si>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</si>
  <si>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</si>
  <si>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</si>
  <si>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</si>
  <si>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</si>
  <si>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</si>
  <si>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</si>
  <si>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</si>
  <si>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</si>
  <si>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</si>
  <si>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</si>
  <si>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</si>
  <si>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</si>
  <si>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</si>
  <si>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</si>
  <si>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</si>
  <si>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</si>
  <si>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</si>
  <si>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</si>
  <si>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</si>
  <si>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</si>
  <si>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</si>
  <si>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</si>
  <si>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</si>
  <si>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</si>
  <si>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</si>
  <si>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</si>
  <si>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</si>
  <si>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</si>
  <si>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</si>
  <si>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</si>
  <si>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</si>
  <si>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</si>
  <si>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</si>
  <si>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</si>
  <si>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</si>
  <si>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</si>
  <si>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</si>
  <si>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</si>
  <si>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</si>
  <si>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</si>
  <si>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</si>
  <si>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</si>
  <si>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</si>
  <si>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</si>
  <si>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</si>
  <si>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</si>
  <si>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</si>
  <si>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</si>
  <si>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</si>
  <si>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</si>
  <si>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</si>
  <si>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</si>
  <si>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</si>
  <si>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</si>
  <si>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</si>
  <si>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</si>
  <si>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</si>
  <si>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</si>
  <si>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</si>
  <si>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</si>
  <si>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</si>
  <si>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</si>
  <si>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</si>
  <si>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</si>
  <si>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</si>
  <si>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</si>
  <si>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</si>
  <si>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</si>
  <si>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</si>
  <si>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</si>
  <si>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</si>
  <si>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</si>
  <si>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</si>
  <si>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</si>
  <si>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</si>
  <si>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</si>
  <si>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</si>
  <si>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</si>
  <si>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</si>
  <si>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</si>
  <si>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</si>
  <si>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</si>
  <si>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</si>
  <si>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</si>
  <si>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</si>
  <si>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</si>
  <si>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</si>
  <si>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</si>
  <si>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</si>
  <si>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</si>
  <si>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</si>
  <si>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</si>
  <si>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</si>
  <si>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</si>
  <si>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</si>
  <si>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</si>
  <si>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</si>
  <si>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</si>
  <si>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</si>
  <si>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</si>
  <si>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</si>
  <si>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</si>
  <si>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</si>
  <si>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</si>
  <si>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</si>
  <si>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</si>
  <si>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</si>
  <si>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</si>
  <si>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</si>
  <si>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</si>
  <si>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</si>
  <si>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</si>
  <si>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</si>
  <si>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</si>
  <si>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</si>
  <si>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</si>
  <si>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</si>
  <si>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</si>
  <si>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</si>
  <si>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</si>
  <si>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</si>
  <si>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</si>
  <si>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</si>
  <si>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</si>
  <si>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</si>
  <si>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</si>
  <si>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</si>
  <si>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</si>
  <si>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</si>
  <si>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</si>
  <si>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</si>
  <si>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</si>
  <si>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</si>
  <si>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</si>
  <si>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</si>
  <si>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</si>
  <si>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</si>
  <si>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</si>
  <si>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</si>
  <si>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</si>
  <si>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</si>
  <si>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</si>
  <si>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</si>
  <si>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</si>
  <si>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</si>
  <si>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</si>
  <si>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</si>
  <si>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</si>
  <si>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</si>
  <si>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</si>
  <si>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</si>
  <si>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</si>
  <si>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</si>
  <si>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</si>
  <si>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</si>
  <si>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</si>
  <si>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</si>
  <si>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</si>
  <si>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</si>
  <si>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</si>
  <si>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</si>
  <si>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</si>
  <si>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</si>
  <si>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</si>
  <si>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</si>
  <si>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</si>
  <si>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</si>
  <si>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</si>
  <si>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</si>
  <si>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</si>
  <si>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</si>
  <si>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</si>
  <si>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</si>
  <si>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</si>
  <si>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</si>
  <si>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</si>
  <si>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</si>
  <si>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</si>
  <si>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</si>
  <si>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</si>
  <si>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</si>
  <si>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</si>
  <si>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</si>
  <si>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</si>
  <si>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</si>
  <si>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</si>
  <si>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</si>
  <si>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</si>
  <si>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</si>
  <si>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</si>
  <si>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</si>
  <si>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</si>
  <si>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</si>
  <si>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</si>
  <si>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</si>
  <si>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</si>
  <si>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</si>
  <si>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</si>
  <si>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</si>
  <si>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</si>
  <si>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</si>
  <si>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</si>
  <si>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</si>
  <si>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</si>
  <si>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</si>
  <si>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</si>
  <si>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</si>
  <si>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</si>
  <si>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</si>
  <si>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</si>
  <si>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</si>
  <si>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</si>
  <si>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</si>
  <si>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</si>
  <si>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</si>
  <si>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</si>
  <si>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</si>
  <si>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</si>
  <si>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</si>
  <si>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</si>
  <si>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</si>
  <si>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</si>
  <si>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</si>
  <si>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</si>
  <si>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</si>
  <si>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</si>
  <si>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</si>
  <si>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</si>
  <si>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</si>
  <si>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</si>
  <si>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</si>
  <si>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</si>
  <si>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</si>
  <si>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</si>
  <si>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</si>
  <si>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</si>
  <si>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</si>
  <si>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</si>
  <si>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</si>
  <si>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</si>
  <si>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</si>
  <si>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</si>
  <si>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</si>
  <si>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</si>
  <si>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</si>
  <si>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</si>
  <si>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</si>
  <si>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</si>
  <si>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</si>
  <si>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</si>
  <si>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</si>
  <si>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</si>
  <si>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</si>
  <si>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</si>
  <si>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</si>
  <si>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</si>
  <si>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</si>
  <si>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</si>
  <si>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</si>
  <si>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</si>
  <si>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</si>
  <si>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</si>
  <si>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</si>
  <si>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</si>
  <si>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</si>
  <si>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</si>
  <si>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</si>
  <si>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</si>
  <si>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</si>
  <si>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</si>
  <si>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</si>
  <si>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</si>
  <si>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</si>
  <si>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</si>
  <si>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</si>
  <si>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</si>
  <si>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</si>
  <si>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</si>
  <si>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</si>
  <si>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</si>
  <si>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</si>
  <si>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</si>
  <si>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</si>
  <si>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</si>
  <si>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</si>
  <si>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</si>
  <si>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</si>
  <si>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</si>
  <si>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</si>
  <si>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</si>
  <si>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</si>
  <si>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</si>
  <si>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</si>
  <si>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</si>
  <si>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</si>
  <si>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</si>
  <si>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</si>
  <si>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</si>
  <si>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</si>
  <si>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</si>
  <si>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</si>
  <si>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</si>
  <si>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</si>
  <si>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</si>
  <si>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</si>
  <si>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</si>
  <si>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</si>
  <si>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</si>
  <si>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</si>
  <si>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</si>
  <si>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</si>
  <si>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</si>
  <si>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</si>
  <si>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</si>
  <si>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</si>
  <si>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</si>
  <si>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</si>
  <si>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</si>
  <si>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</si>
  <si>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</si>
  <si>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</si>
  <si>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</si>
  <si>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</si>
  <si>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</si>
  <si>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</si>
  <si>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</si>
  <si>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</si>
  <si>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</si>
  <si>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</si>
  <si>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</si>
  <si>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</si>
  <si>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</si>
  <si>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</si>
  <si>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</si>
  <si>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</si>
  <si>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</si>
  <si>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</si>
  <si>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</si>
  <si>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</si>
  <si>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</si>
  <si>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</si>
  <si>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</si>
  <si>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</si>
  <si>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</si>
  <si>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</si>
  <si>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</si>
  <si>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</si>
  <si>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</si>
  <si>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</si>
  <si>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</si>
  <si>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</si>
  <si>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</si>
  <si>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</si>
  <si>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</si>
  <si>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</si>
  <si>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</si>
  <si>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</si>
  <si>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</si>
  <si>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</si>
  <si>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</si>
  <si>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</si>
  <si>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</si>
  <si>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</si>
  <si>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</si>
  <si>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</si>
  <si>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</si>
  <si>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</si>
  <si>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</si>
  <si>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</si>
  <si>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</si>
  <si>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</si>
  <si>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</si>
  <si>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</si>
  <si>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</si>
  <si>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</si>
  <si>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</si>
  <si>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</si>
  <si>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</si>
  <si>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</si>
  <si>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</si>
  <si>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</si>
  <si>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</si>
  <si>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</si>
  <si>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</si>
  <si>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</si>
  <si>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</si>
  <si>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</si>
  <si>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</si>
  <si>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</si>
  <si>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</si>
  <si>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</si>
  <si>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</si>
  <si>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</si>
  <si>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</si>
  <si>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</si>
  <si>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</si>
  <si>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</si>
  <si>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</si>
  <si>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</si>
  <si>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</si>
  <si>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</si>
  <si>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</si>
  <si>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</si>
  <si>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</si>
  <si>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</si>
  <si>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</si>
  <si>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</si>
  <si>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</si>
  <si>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</si>
  <si>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</si>
  <si>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</si>
  <si>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</si>
  <si>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</si>
  <si>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</si>
  <si>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</si>
  <si>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</si>
  <si>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</si>
  <si>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</si>
  <si>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</si>
  <si>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</si>
  <si>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</si>
  <si>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</si>
  <si>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</si>
  <si>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</si>
  <si>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</si>
  <si>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</si>
  <si>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</si>
  <si>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</si>
  <si>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</si>
  <si>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</si>
  <si>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</si>
  <si>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</si>
  <si>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</si>
  <si>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</si>
  <si>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</si>
  <si>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</si>
  <si>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</si>
  <si>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</si>
  <si>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</si>
  <si>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</si>
  <si>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</si>
  <si>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</si>
  <si>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</si>
  <si>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</si>
  <si>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</si>
  <si>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</si>
  <si>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</si>
  <si>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</si>
  <si>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</si>
  <si>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</si>
  <si>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</si>
  <si>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</si>
  <si>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</si>
  <si>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</si>
  <si>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</si>
  <si>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</si>
  <si>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</si>
  <si>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</si>
  <si>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</si>
  <si>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</si>
  <si>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</si>
  <si>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</si>
  <si>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</si>
  <si>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</si>
  <si>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</si>
  <si>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</si>
  <si>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</si>
  <si>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</si>
  <si>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</si>
  <si>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</si>
  <si>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</si>
  <si>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</si>
  <si>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</si>
  <si>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</si>
  <si>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</si>
  <si>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</si>
  <si>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</si>
  <si>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</si>
  <si>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</si>
  <si>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</si>
  <si>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</si>
  <si>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</si>
  <si>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</si>
  <si>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</si>
  <si>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</si>
  <si>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</si>
  <si>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</si>
  <si>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</si>
  <si>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</si>
  <si>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</si>
  <si>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</si>
  <si>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</si>
  <si>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</si>
  <si>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</si>
  <si>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</si>
  <si>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</si>
  <si>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</si>
  <si>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</si>
  <si>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</si>
  <si>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</si>
  <si>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</si>
  <si>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</si>
  <si>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</si>
  <si>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</si>
  <si>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</si>
  <si>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</si>
  <si>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</si>
  <si>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</si>
  <si>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</si>
  <si>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</si>
  <si>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</si>
  <si>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</si>
  <si>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</si>
  <si>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</si>
  <si>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</si>
  <si>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</si>
  <si>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</si>
  <si>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</si>
  <si>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</si>
  <si>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</si>
  <si>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</si>
  <si>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</si>
  <si>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</si>
  <si>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</si>
  <si>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</si>
  <si>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</si>
  <si>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</si>
  <si>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</si>
  <si>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</si>
  <si>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</si>
  <si>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</si>
  <si>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</si>
  <si>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</si>
  <si>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</si>
  <si>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</si>
  <si>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</si>
  <si>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</si>
  <si>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</si>
  <si>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</si>
  <si>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</si>
  <si>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</si>
  <si>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</si>
  <si>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</si>
  <si>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</si>
  <si>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</si>
  <si>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</si>
  <si>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</si>
  <si>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</si>
  <si>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</si>
  <si>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</si>
  <si>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</si>
  <si>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</si>
  <si>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</si>
  <si>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</si>
  <si>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</si>
  <si>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</si>
  <si>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</si>
  <si>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</si>
  <si>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</si>
  <si>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</si>
  <si>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</si>
  <si>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</si>
  <si>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</si>
  <si>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</si>
  <si>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</si>
  <si>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</si>
  <si>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</si>
  <si>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</si>
  <si>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</si>
  <si>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</si>
  <si>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</si>
  <si>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</si>
  <si>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</si>
  <si>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</si>
  <si>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</si>
  <si>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</si>
  <si>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</si>
  <si>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</si>
  <si>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</si>
  <si>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</si>
  <si>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</si>
  <si>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</si>
  <si>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</si>
  <si>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</si>
  <si>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</si>
  <si>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</si>
  <si>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</si>
  <si>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</si>
  <si>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</si>
  <si>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</si>
  <si>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</si>
  <si>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</si>
  <si>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</si>
  <si>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</si>
  <si>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</si>
  <si>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</si>
  <si>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</si>
  <si>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</si>
  <si>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</si>
  <si>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</si>
  <si>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</si>
  <si>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</si>
  <si>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</si>
  <si>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</si>
  <si>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</si>
  <si>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</si>
  <si>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</si>
  <si>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</si>
  <si>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</si>
  <si>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</si>
  <si>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</si>
  <si>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</si>
  <si>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</si>
  <si>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</si>
  <si>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</si>
  <si>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</si>
  <si>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</si>
  <si>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</si>
  <si>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</si>
  <si>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</si>
  <si>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</si>
  <si>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</si>
  <si>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</si>
  <si>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</si>
  <si>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</si>
  <si>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</si>
  <si>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</si>
  <si>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</si>
  <si>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</si>
  <si>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</si>
  <si>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</si>
  <si>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</si>
  <si>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</si>
  <si>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</si>
  <si>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</si>
  <si>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</si>
  <si>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</si>
  <si>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</si>
  <si>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</si>
  <si>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</si>
  <si>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</si>
  <si>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</si>
  <si>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</si>
  <si>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</si>
  <si>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</si>
  <si>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</si>
  <si>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</si>
  <si>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</si>
  <si>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</si>
  <si>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</si>
  <si>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</si>
  <si>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</si>
  <si>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</si>
  <si>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</si>
  <si>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</si>
  <si>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</si>
  <si>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</si>
  <si>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</si>
  <si>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</si>
  <si>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</si>
  <si>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</si>
  <si>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</si>
  <si>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</si>
  <si>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</si>
  <si>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</si>
  <si>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</si>
  <si>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</si>
  <si>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</si>
  <si>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</si>
  <si>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</si>
  <si>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</si>
  <si>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</si>
  <si>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</si>
  <si>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</si>
  <si>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</si>
  <si>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</si>
  <si>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</si>
  <si>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</si>
  <si>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</si>
  <si>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</si>
  <si>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</si>
  <si>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</si>
  <si>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</si>
  <si>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</si>
  <si>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</si>
  <si>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</si>
  <si>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</si>
  <si>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</si>
  <si>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</si>
  <si>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</si>
  <si>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</si>
  <si>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</si>
  <si>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</si>
  <si>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</si>
  <si>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</si>
  <si>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</si>
  <si>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</si>
  <si>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</si>
  <si>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</si>
  <si>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</si>
  <si>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</si>
  <si>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</si>
  <si>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</si>
  <si>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</si>
  <si>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</si>
  <si>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</si>
  <si>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</si>
  <si>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</si>
  <si>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</si>
  <si>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</si>
  <si>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</si>
  <si>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</si>
  <si>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</si>
  <si>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</si>
  <si>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</si>
  <si>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</si>
  <si>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</si>
  <si>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</si>
  <si>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</si>
  <si>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</si>
  <si>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</si>
  <si>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</si>
  <si>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</si>
  <si>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</si>
  <si>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</si>
  <si>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</si>
  <si>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</si>
  <si>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</si>
  <si>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</si>
  <si>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</si>
  <si>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</si>
  <si>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</si>
  <si>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</si>
  <si>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</si>
  <si>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</si>
  <si>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</si>
  <si>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</si>
  <si>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</si>
  <si>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</si>
  <si>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</si>
  <si>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</si>
  <si>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</si>
  <si>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</si>
  <si>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</si>
  <si>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</si>
  <si>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</si>
  <si>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</si>
  <si>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</si>
  <si>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</si>
  <si>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</si>
  <si>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</si>
  <si>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</si>
  <si>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</si>
  <si>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</si>
  <si>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</si>
  <si>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</si>
  <si>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</si>
  <si>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</si>
  <si>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</si>
  <si>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</si>
  <si>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</si>
  <si>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</si>
  <si>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</si>
  <si>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</si>
  <si>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</si>
  <si>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</si>
  <si>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</si>
  <si>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</si>
  <si>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</si>
  <si>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</si>
  <si>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</si>
  <si>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</si>
  <si>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</si>
  <si>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</si>
  <si>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</si>
  <si>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</si>
  <si>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</si>
  <si>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</si>
  <si>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</si>
  <si>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</si>
  <si>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</si>
  <si>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</si>
  <si>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</si>
  <si>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</si>
  <si>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</si>
  <si>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</si>
  <si>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</si>
  <si>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</si>
  <si>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</si>
  <si>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</si>
  <si>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</si>
  <si>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</si>
  <si>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</si>
  <si>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</si>
  <si>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</si>
  <si>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</si>
  <si>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</si>
  <si>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</si>
  <si>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</si>
  <si>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</si>
  <si>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</si>
  <si>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</si>
  <si>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</si>
  <si>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</si>
  <si>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</si>
  <si>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</si>
  <si>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</si>
  <si>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</si>
  <si>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</si>
  <si>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</si>
  <si>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</si>
  <si>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</si>
  <si>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</si>
  <si>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</si>
  <si>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</si>
  <si>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</si>
  <si>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</si>
  <si>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</si>
  <si>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</si>
  <si>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</si>
  <si>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</si>
  <si>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</si>
  <si>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</si>
  <si>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</si>
  <si>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</si>
  <si>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</si>
  <si>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</si>
  <si>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</si>
  <si>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</si>
  <si>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</si>
  <si>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</si>
  <si>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</si>
  <si>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</si>
  <si>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</si>
  <si>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</si>
  <si>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</si>
  <si>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</si>
  <si>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</si>
  <si>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</si>
  <si>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</si>
  <si>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</si>
  <si>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</si>
  <si>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</si>
  <si>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</si>
  <si>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</si>
  <si>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</si>
  <si>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</si>
  <si>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</si>
  <si>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</si>
  <si>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</si>
  <si>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</si>
  <si>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</si>
  <si>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</si>
  <si>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</si>
  <si>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</si>
  <si>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</si>
  <si>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</si>
  <si>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</si>
  <si>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</si>
  <si>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</si>
  <si>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</si>
  <si>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</si>
  <si>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</si>
  <si>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</si>
  <si>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</si>
  <si>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</si>
  <si>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</si>
  <si>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</si>
  <si>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</si>
  <si>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</si>
  <si>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</si>
  <si>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</si>
  <si>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</si>
  <si>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</si>
  <si>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</si>
  <si>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</si>
  <si>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</si>
  <si>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</si>
  <si>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</si>
  <si>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</si>
  <si>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</si>
  <si>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</si>
  <si>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</si>
  <si>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</si>
  <si>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</si>
  <si>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</si>
  <si>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</si>
  <si>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</si>
  <si>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</si>
  <si>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</si>
  <si>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</si>
  <si>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</si>
  <si>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</si>
  <si>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</si>
  <si>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</si>
  <si>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</si>
  <si>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</si>
  <si>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</si>
  <si>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</si>
  <si>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</si>
  <si>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</si>
  <si>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</si>
  <si>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</si>
  <si>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</si>
  <si>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</si>
  <si>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</si>
  <si>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</si>
  <si>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</si>
  <si>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</si>
  <si>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</si>
  <si>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</si>
  <si>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</si>
  <si>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</si>
  <si>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</si>
  <si>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</si>
  <si>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</si>
  <si>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</si>
  <si>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</si>
  <si>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</si>
  <si>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</si>
  <si>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</si>
  <si>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</si>
  <si>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</si>
  <si>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</si>
  <si>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</si>
  <si>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</si>
  <si>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</si>
  <si>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</si>
  <si>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</si>
  <si>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</si>
  <si>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</si>
  <si>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</si>
  <si>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</si>
  <si>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</si>
  <si>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</si>
  <si>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</si>
  <si>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</si>
  <si>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</si>
  <si>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</si>
  <si>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</si>
  <si>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</si>
  <si>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</si>
  <si>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</si>
  <si>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</si>
  <si>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</si>
  <si>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</si>
  <si>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</si>
  <si>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</si>
  <si>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</si>
  <si>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</si>
  <si>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</si>
  <si>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</si>
  <si>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</si>
  <si>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</si>
  <si>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</si>
  <si>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</si>
  <si>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</si>
  <si>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</si>
  <si>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</si>
  <si>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</si>
  <si>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</si>
  <si>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</si>
  <si>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</si>
  <si>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</si>
  <si>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</si>
  <si>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</si>
  <si>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</si>
  <si>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</si>
  <si>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</si>
  <si>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</si>
  <si>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</si>
  <si>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</si>
  <si>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</si>
  <si>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</si>
  <si>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</si>
  <si>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</si>
  <si>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</si>
  <si>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</si>
  <si>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</si>
  <si>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</si>
  <si>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</si>
  <si>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</si>
  <si>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</si>
  <si>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</si>
  <si>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</si>
  <si>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</si>
  <si>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</si>
  <si>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</si>
  <si>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</si>
  <si>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</si>
  <si>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</si>
  <si>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</si>
  <si>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</si>
  <si>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</si>
  <si>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</si>
  <si>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</si>
  <si>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</si>
  <si>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</si>
  <si>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</si>
  <si>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</si>
  <si>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</si>
  <si>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</si>
  <si>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</si>
  <si>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</si>
  <si>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</si>
  <si>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</si>
  <si>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</si>
  <si>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</si>
  <si>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</si>
  <si>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</si>
  <si>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</si>
  <si>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</si>
  <si>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</si>
  <si>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</si>
  <si>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</si>
  <si>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</si>
  <si>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</si>
  <si>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</si>
  <si>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</si>
  <si>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</si>
  <si>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</si>
  <si>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</si>
  <si>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</si>
  <si>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</si>
  <si>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</si>
  <si>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</si>
  <si>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</si>
  <si>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</si>
  <si>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</si>
  <si>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</si>
  <si>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</si>
  <si>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</si>
  <si>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</si>
  <si>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</si>
  <si>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</si>
  <si>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</si>
  <si>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</si>
  <si>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</si>
  <si>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</si>
  <si>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</si>
  <si>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</si>
  <si>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</si>
  <si>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</si>
  <si>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</si>
  <si>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</si>
  <si>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</si>
  <si>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</si>
  <si>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</si>
  <si>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</si>
  <si>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</si>
  <si>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</si>
  <si>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</si>
  <si>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</si>
  <si>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</si>
  <si>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</si>
  <si>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</si>
  <si>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</si>
  <si>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</si>
  <si>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</si>
  <si>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</si>
  <si>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</si>
  <si>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</si>
  <si>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</si>
  <si>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</si>
  <si>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</si>
  <si>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</si>
  <si>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</si>
  <si>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</si>
  <si>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</si>
  <si>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</si>
  <si>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</si>
  <si>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</si>
  <si>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</si>
  <si>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</si>
  <si>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</si>
  <si>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</si>
  <si>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</si>
  <si>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</si>
  <si>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</si>
  <si>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</si>
  <si>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</si>
  <si>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</si>
  <si>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</si>
  <si>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</si>
  <si>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</si>
  <si>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</si>
  <si>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</si>
  <si>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</si>
  <si>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</si>
  <si>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</si>
  <si>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</si>
  <si>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</si>
  <si>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</si>
  <si>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</si>
  <si>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</si>
  <si>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</si>
  <si>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</si>
  <si>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</si>
  <si>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</si>
  <si>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</si>
  <si>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</si>
  <si>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</si>
  <si>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</si>
  <si>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</si>
  <si>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</si>
  <si>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</si>
  <si>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</si>
  <si>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</si>
  <si>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</si>
  <si>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</si>
  <si>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</si>
  <si>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</si>
  <si>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</si>
  <si>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</si>
  <si>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</si>
  <si>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</si>
  <si>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</si>
  <si>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</si>
  <si>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</si>
  <si>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</si>
  <si>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</si>
  <si>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</si>
  <si>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</si>
  <si>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</si>
  <si>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</si>
  <si>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</si>
  <si>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</si>
  <si>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</si>
  <si>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</si>
  <si>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</si>
  <si>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</si>
  <si>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</si>
  <si>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</si>
  <si>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</si>
  <si>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</si>
  <si>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</si>
  <si>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</si>
  <si>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</si>
  <si>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</si>
  <si>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</si>
  <si>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</si>
  <si>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</si>
  <si>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</si>
  <si>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</si>
  <si>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</si>
  <si>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</si>
  <si>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</si>
  <si>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</si>
  <si>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</si>
  <si>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</si>
  <si>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</si>
  <si>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</si>
  <si>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</si>
  <si>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</si>
  <si>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</si>
  <si>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</si>
  <si>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</si>
  <si>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</si>
  <si>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</si>
  <si>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</si>
  <si>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</si>
  <si>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</si>
  <si>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</si>
  <si>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</si>
  <si>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</si>
  <si>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</si>
  <si>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</si>
  <si>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</si>
  <si>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</si>
  <si>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</si>
  <si>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</si>
  <si>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</si>
  <si>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</si>
  <si>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</si>
  <si>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</si>
  <si>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</si>
  <si>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</si>
  <si>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</si>
  <si>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</si>
  <si>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</si>
  <si>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</si>
  <si>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</si>
  <si>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</si>
  <si>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</si>
  <si>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</si>
  <si>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</si>
  <si>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</si>
  <si>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</si>
  <si>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</si>
  <si>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</si>
  <si>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</si>
  <si>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</si>
  <si>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</si>
  <si>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</si>
  <si>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</si>
  <si>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</si>
  <si>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</si>
  <si>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</si>
  <si>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</si>
  <si>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</si>
  <si>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</si>
  <si>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</si>
  <si>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</si>
  <si>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</si>
  <si>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</si>
  <si>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</si>
  <si>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</si>
  <si>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</si>
  <si>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</si>
  <si>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</si>
  <si>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</si>
  <si>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</si>
  <si>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</si>
  <si>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</si>
  <si>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</si>
  <si>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</si>
  <si>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</si>
  <si>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</si>
  <si>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</si>
  <si>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</si>
  <si>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</si>
  <si>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</si>
  <si>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</si>
  <si>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</si>
  <si>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</si>
  <si>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</si>
  <si>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</si>
  <si>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</si>
  <si>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</si>
  <si>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</si>
  <si>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</si>
  <si>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</si>
  <si>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</si>
  <si>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</si>
  <si>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</si>
  <si>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</si>
  <si>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</si>
  <si>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</si>
  <si>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</si>
  <si>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</si>
  <si>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</si>
  <si>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</si>
  <si>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</si>
  <si>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</si>
  <si>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</si>
  <si>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</si>
  <si>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</si>
  <si>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</si>
  <si>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</si>
  <si>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</si>
  <si>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</si>
  <si>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</si>
  <si>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</si>
  <si>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</si>
  <si>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</si>
  <si>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</si>
  <si>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</si>
  <si>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</si>
  <si>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</si>
  <si>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</si>
  <si>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</si>
  <si>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</si>
  <si>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</si>
  <si>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</si>
  <si>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</si>
  <si>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</si>
  <si>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</si>
  <si>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</si>
  <si>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</si>
  <si>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</si>
  <si>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</si>
  <si>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</si>
  <si>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</si>
  <si>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</si>
  <si>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</si>
  <si>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</si>
  <si>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</si>
  <si>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</si>
  <si>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</si>
  <si>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</si>
  <si>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</si>
  <si>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</si>
  <si>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</si>
  <si>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</si>
  <si>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</si>
  <si>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</si>
  <si>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</si>
  <si>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</si>
  <si>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</si>
  <si>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</si>
  <si>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</si>
  <si>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</si>
  <si>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</si>
  <si>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</si>
  <si>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</si>
  <si>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</si>
  <si>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</si>
  <si>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</si>
  <si>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</si>
  <si>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</si>
  <si>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</si>
  <si>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</si>
  <si>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</si>
  <si>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</si>
  <si>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</si>
  <si>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</si>
  <si>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</si>
  <si>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</si>
  <si>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</si>
  <si>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</si>
  <si>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</si>
  <si>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</si>
  <si>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</si>
  <si>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</si>
  <si>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</si>
  <si>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</si>
  <si>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</si>
  <si>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</si>
  <si>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</si>
  <si>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</si>
  <si>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</si>
  <si>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</si>
  <si>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</si>
  <si>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</si>
  <si>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</si>
  <si>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</si>
  <si>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</si>
  <si>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</si>
  <si>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</si>
  <si>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</si>
  <si>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</si>
  <si>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</si>
  <si>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</si>
  <si>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</si>
  <si>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</si>
  <si>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</si>
  <si>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</si>
  <si>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</si>
  <si>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</si>
  <si>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</si>
  <si>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</si>
  <si>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</si>
  <si>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</si>
  <si>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</si>
  <si>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</si>
  <si>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</si>
  <si>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</si>
  <si>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</si>
  <si>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</si>
  <si>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</si>
  <si>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</si>
  <si>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</si>
  <si>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</si>
  <si>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</si>
  <si>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</si>
  <si>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</si>
  <si>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</si>
  <si>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</si>
  <si>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</si>
  <si>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</si>
  <si>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</si>
  <si>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</si>
  <si>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</si>
  <si>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</si>
  <si>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</si>
  <si>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</si>
  <si>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</si>
  <si>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</si>
  <si>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</si>
  <si>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</si>
  <si>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</si>
  <si>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</si>
  <si>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</si>
  <si>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</si>
  <si>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</si>
  <si>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</si>
  <si>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</si>
  <si>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</si>
  <si>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</si>
  <si>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</si>
  <si>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</si>
  <si>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</si>
  <si>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</si>
  <si>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</si>
  <si>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</si>
  <si>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</si>
  <si>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</si>
  <si>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</si>
  <si>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</si>
  <si>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</si>
  <si>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</si>
  <si>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</si>
  <si>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</si>
  <si>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</si>
  <si>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</si>
  <si>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</si>
  <si>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</si>
  <si>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</si>
  <si>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</si>
  <si>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</si>
  <si>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</si>
  <si>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</si>
  <si>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</si>
  <si>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</si>
  <si>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</si>
  <si>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</si>
  <si>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</si>
  <si>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</si>
  <si>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</si>
  <si>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</si>
  <si>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</si>
  <si>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</si>
  <si>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</si>
  <si>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</si>
  <si>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</si>
  <si>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</si>
  <si>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</si>
  <si>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</si>
  <si>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</si>
  <si>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</si>
  <si>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</si>
  <si>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</si>
  <si>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</si>
  <si>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</si>
  <si>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</si>
  <si>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</si>
  <si>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</si>
  <si>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</si>
  <si>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</si>
  <si>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</si>
  <si>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</si>
  <si>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</si>
  <si>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</si>
  <si>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</si>
  <si>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</si>
  <si>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</si>
  <si>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</si>
  <si>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</si>
  <si>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</si>
  <si>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</si>
  <si>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</si>
  <si>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</si>
  <si>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</si>
  <si>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</si>
  <si>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</si>
  <si>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</si>
  <si>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</si>
  <si>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</si>
  <si>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</si>
  <si>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</si>
  <si>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</si>
  <si>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</si>
  <si>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</si>
  <si>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</si>
  <si>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</si>
  <si>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</si>
  <si>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</si>
  <si>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</si>
  <si>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</si>
  <si>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</si>
  <si>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</si>
  <si>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</si>
  <si>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</si>
  <si>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</si>
  <si>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</si>
  <si>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</si>
  <si>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</si>
  <si>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</si>
  <si>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</si>
  <si>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</si>
  <si>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</si>
  <si>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</si>
  <si>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</si>
  <si>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</si>
  <si>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</si>
  <si>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</si>
  <si>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</si>
  <si>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</si>
  <si>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</si>
  <si>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</si>
  <si>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</si>
  <si>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</si>
  <si>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</si>
  <si>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</si>
  <si>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</si>
  <si>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</si>
  <si>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</si>
  <si>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</si>
  <si>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</si>
  <si>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</si>
  <si>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</si>
  <si>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</si>
  <si>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</si>
  <si>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</si>
  <si>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</si>
  <si>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</si>
  <si>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</si>
  <si>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</si>
  <si>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</si>
  <si>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</si>
  <si>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</si>
  <si>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</si>
  <si>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</si>
  <si>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</si>
  <si>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</si>
  <si>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</si>
  <si>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</si>
  <si>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</si>
  <si>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</si>
  <si>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</si>
  <si>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</si>
  <si>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</si>
  <si>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</si>
  <si>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</si>
  <si>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</si>
  <si>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</si>
  <si>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</si>
  <si>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</si>
  <si>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</si>
  <si>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</si>
  <si>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</si>
  <si>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</si>
  <si>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</si>
  <si>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</si>
  <si>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</si>
  <si>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</si>
  <si>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</si>
  <si>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</si>
  <si>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</si>
  <si>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</si>
  <si>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</si>
  <si>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</si>
  <si>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</si>
  <si>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</si>
  <si>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</si>
  <si>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</si>
  <si>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</si>
  <si>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</si>
  <si>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</si>
  <si>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</si>
  <si>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</si>
  <si>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</si>
  <si>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</si>
  <si>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</si>
  <si>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</si>
  <si>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</si>
  <si>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</si>
  <si>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</si>
  <si>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</si>
  <si>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</si>
  <si>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</si>
  <si>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</si>
  <si>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</si>
  <si>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</si>
  <si>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</si>
  <si>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</si>
  <si>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</si>
  <si>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</si>
  <si>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</si>
  <si>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</si>
  <si>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</si>
  <si>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</si>
  <si>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</si>
  <si>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</si>
  <si>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</si>
  <si>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</si>
  <si>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</si>
  <si>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</si>
  <si>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</si>
  <si>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</si>
  <si>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</si>
  <si>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</si>
  <si>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</si>
  <si>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</si>
  <si>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</si>
  <si>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</si>
  <si>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</si>
  <si>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</si>
  <si>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</si>
  <si>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</si>
  <si>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</si>
  <si>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</si>
  <si>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</si>
  <si>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</si>
  <si>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</si>
  <si>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</si>
  <si>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</si>
  <si>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</si>
  <si>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</si>
  <si>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</si>
  <si>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</si>
  <si>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</si>
  <si>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</si>
  <si>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</si>
  <si>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</si>
  <si>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</si>
  <si>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</si>
  <si>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</si>
  <si>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</si>
  <si>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</si>
  <si>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</si>
  <si>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</si>
  <si>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</si>
  <si>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</si>
  <si>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</si>
  <si>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</si>
  <si>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</si>
  <si>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</si>
  <si>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</si>
  <si>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</si>
  <si>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</si>
  <si>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</si>
  <si>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</si>
  <si>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</si>
  <si>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</si>
  <si>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</si>
  <si>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</si>
  <si>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</si>
  <si>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</si>
  <si>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</si>
  <si>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</si>
  <si>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</si>
  <si>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</si>
  <si>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</si>
  <si>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</si>
  <si>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</si>
  <si>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</si>
  <si>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</si>
  <si>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</si>
  <si>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</si>
  <si>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</si>
  <si>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</si>
  <si>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</si>
  <si>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</si>
  <si>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</si>
  <si>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</si>
  <si>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</si>
  <si>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</si>
  <si>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</si>
  <si>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</si>
  <si>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</si>
  <si>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</si>
  <si>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</si>
  <si>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</si>
  <si>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</si>
  <si>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</si>
  <si>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</si>
  <si>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</si>
  <si>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</si>
  <si>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</si>
  <si>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</si>
  <si>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</si>
  <si>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</si>
  <si>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</si>
  <si>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</si>
  <si>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</si>
  <si>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</si>
  <si>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</si>
  <si>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</si>
  <si>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</si>
  <si>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</si>
  <si>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</si>
  <si>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</si>
  <si>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</si>
  <si>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</si>
  <si>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</si>
  <si>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</si>
  <si>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</si>
  <si>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</si>
  <si>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</si>
  <si>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</si>
  <si>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</si>
  <si>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</si>
  <si>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</si>
  <si>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</si>
  <si>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</si>
  <si>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</si>
  <si>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</si>
  <si>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</si>
  <si>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</si>
  <si>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</si>
  <si>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</si>
  <si>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</si>
  <si>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</si>
  <si>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</si>
  <si>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</si>
  <si>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</si>
  <si>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</si>
  <si>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</si>
  <si>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</si>
  <si>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</si>
  <si>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</si>
  <si>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</si>
  <si>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</si>
  <si>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</si>
  <si>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</si>
  <si>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</si>
  <si>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</si>
  <si>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</si>
  <si>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</si>
  <si>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</si>
  <si>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</si>
  <si>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</si>
  <si>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</si>
  <si>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</si>
  <si>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</si>
  <si>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</si>
  <si>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</si>
  <si>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</si>
  <si>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</si>
  <si>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</si>
  <si>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</si>
  <si>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</si>
  <si>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</si>
  <si>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</si>
  <si>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</si>
  <si>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</si>
  <si>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</si>
  <si>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</si>
  <si>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</si>
  <si>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</si>
  <si>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</si>
  <si>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</si>
  <si>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</si>
  <si>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</si>
  <si>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</si>
  <si>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</si>
  <si>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</si>
  <si>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</si>
  <si>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</si>
  <si>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</si>
  <si>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</si>
  <si>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</si>
  <si>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</si>
  <si>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</si>
  <si>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</si>
  <si>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</si>
  <si>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</si>
  <si>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</si>
  <si>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</si>
  <si>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</si>
  <si>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</si>
  <si>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</si>
  <si>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</si>
  <si>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</si>
  <si>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</si>
  <si>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</si>
  <si>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</si>
  <si>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</si>
  <si>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</si>
  <si>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</si>
  <si>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</si>
  <si>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</si>
  <si>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</si>
  <si>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</si>
  <si>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</si>
  <si>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</si>
  <si>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</si>
  <si>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</si>
  <si>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</si>
  <si>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</si>
  <si>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</si>
  <si>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</si>
  <si>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</si>
  <si>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</si>
  <si>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</si>
  <si>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</si>
  <si>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</si>
  <si>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</si>
  <si>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</si>
  <si>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</si>
  <si>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</si>
  <si>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</si>
  <si>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</si>
  <si>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</si>
  <si>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</si>
  <si>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</si>
  <si>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</si>
  <si>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</si>
  <si>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</si>
  <si>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</si>
  <si>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</si>
  <si>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</si>
  <si>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</si>
  <si>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</si>
  <si>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</si>
  <si>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</si>
  <si>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</si>
  <si>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</si>
  <si>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</si>
  <si>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</si>
  <si>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</si>
  <si>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</si>
  <si>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</si>
  <si>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</si>
  <si>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</si>
  <si>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</si>
  <si>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</si>
  <si>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</si>
  <si>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</si>
  <si>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</si>
  <si>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</si>
  <si>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</si>
  <si>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</si>
  <si>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</si>
  <si>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</si>
  <si>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</si>
  <si>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</si>
  <si>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</si>
  <si>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</si>
  <si>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</si>
  <si>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</si>
  <si>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</si>
  <si>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</si>
  <si>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</si>
  <si>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</si>
  <si>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</si>
  <si>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</si>
  <si>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</si>
  <si>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</si>
  <si>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</si>
  <si>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</si>
  <si>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</si>
  <si>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</si>
  <si>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</si>
  <si>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</si>
  <si>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</si>
  <si>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</si>
  <si>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</si>
  <si>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</si>
  <si>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</si>
  <si>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</si>
  <si>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</si>
  <si>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</si>
  <si>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</si>
  <si>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</si>
  <si>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</si>
  <si>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</si>
  <si>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</si>
  <si>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</si>
  <si>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</si>
  <si>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</si>
  <si>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</si>
  <si>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</si>
  <si>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</si>
  <si>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</si>
  <si>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</si>
  <si>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</si>
  <si>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</si>
  <si>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</si>
  <si>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</si>
  <si>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</si>
  <si>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</si>
  <si>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</si>
  <si>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</si>
  <si>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</si>
  <si>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</si>
  <si>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</si>
  <si>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</si>
  <si>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</si>
  <si>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</si>
  <si>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</si>
  <si>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</si>
  <si>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</si>
  <si>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</si>
  <si>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</si>
  <si>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</si>
  <si>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</si>
  <si>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</si>
  <si>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</si>
  <si>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</si>
  <si>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</si>
  <si>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</si>
  <si>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</si>
  <si>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</si>
  <si>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</si>
  <si>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</si>
  <si>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</si>
  <si>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</si>
  <si>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</si>
  <si>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</si>
  <si>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</si>
  <si>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</si>
  <si>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</si>
  <si>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</si>
  <si>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</si>
  <si>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</si>
  <si>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</si>
  <si>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</si>
  <si>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</si>
  <si>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</si>
  <si>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</si>
  <si>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</si>
  <si>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</si>
  <si>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</si>
  <si>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</si>
  <si>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</si>
  <si>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</si>
  <si>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</si>
  <si>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</si>
  <si>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</si>
  <si>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</si>
  <si>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</si>
  <si>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</si>
  <si>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</si>
  <si>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</si>
  <si>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</si>
  <si>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</si>
  <si>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</si>
  <si>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</si>
  <si>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</si>
  <si>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</si>
  <si>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</si>
  <si>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</si>
  <si>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</si>
  <si>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</si>
  <si>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</si>
  <si>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</si>
  <si>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</si>
  <si>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</si>
  <si>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</si>
  <si>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</si>
  <si>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</si>
  <si>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</si>
  <si>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</si>
  <si>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</si>
  <si>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</si>
  <si>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</si>
  <si>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</si>
  <si>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</si>
  <si>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</si>
  <si>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</si>
  <si>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</si>
  <si>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</si>
  <si>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</si>
  <si>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</si>
  <si>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</si>
  <si>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</si>
  <si>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</si>
  <si>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</si>
  <si>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</si>
  <si>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</si>
  <si>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</si>
  <si>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</si>
  <si>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</si>
  <si>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</si>
  <si>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</si>
  <si>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</si>
  <si>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</si>
  <si>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</si>
  <si>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</si>
  <si>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</si>
  <si>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</si>
  <si>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</si>
  <si>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</si>
  <si>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</si>
  <si>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</si>
  <si>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</si>
  <si>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</si>
  <si>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</si>
  <si>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</si>
  <si>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</si>
  <si>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</si>
  <si>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</si>
  <si>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</si>
  <si>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</si>
  <si>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</si>
  <si>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</si>
  <si>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</si>
  <si>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</si>
  <si>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</si>
  <si>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</si>
  <si>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</si>
  <si>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</si>
  <si>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</si>
  <si>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</si>
  <si>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</si>
  <si>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</si>
  <si>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</si>
  <si>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</si>
  <si>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</si>
  <si>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</si>
  <si>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</si>
  <si>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</si>
  <si>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</si>
  <si>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</si>
  <si>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</si>
  <si>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</si>
  <si>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</si>
  <si>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</si>
  <si>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</si>
  <si>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</si>
  <si>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</si>
  <si>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</si>
  <si>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</si>
  <si>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</si>
  <si>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</si>
  <si>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</si>
  <si>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</si>
  <si>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</si>
  <si>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</si>
  <si>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</si>
  <si>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</si>
  <si>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</si>
  <si>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</si>
  <si>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</si>
  <si>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</si>
  <si>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</si>
  <si>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</si>
  <si>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</si>
  <si>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</si>
  <si>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</si>
  <si>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</si>
  <si>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</si>
  <si>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</si>
  <si>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</si>
  <si>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</si>
  <si>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</si>
  <si>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</si>
  <si>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</si>
  <si>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</si>
  <si>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</si>
  <si>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</si>
  <si>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</si>
  <si>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</si>
  <si>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</si>
  <si>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</si>
  <si>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</si>
  <si>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</si>
  <si>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</si>
  <si>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</si>
  <si>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</si>
  <si>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</si>
  <si>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</si>
  <si>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</si>
  <si>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</si>
  <si>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</si>
  <si>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</si>
  <si>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</si>
  <si>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</si>
  <si>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</si>
  <si>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</si>
  <si>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</si>
  <si>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</si>
  <si>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</si>
  <si>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</si>
  <si>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</si>
  <si>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</si>
  <si>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</si>
  <si>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</si>
  <si>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</si>
  <si>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</si>
  <si>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</si>
  <si>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</si>
  <si>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</si>
  <si>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</si>
  <si>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</si>
  <si>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</si>
  <si>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</si>
  <si>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</si>
  <si>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</si>
  <si>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</si>
  <si>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</si>
  <si>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</si>
  <si>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</si>
  <si>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</si>
  <si>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</si>
  <si>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</si>
  <si>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</si>
  <si>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</si>
  <si>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</si>
  <si>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</si>
  <si>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</si>
  <si>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</si>
  <si>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</si>
  <si>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</si>
  <si>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</si>
  <si>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</si>
  <si>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</si>
  <si>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</si>
  <si>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</si>
  <si>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</si>
  <si>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</si>
  <si>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</si>
  <si>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</si>
  <si>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</si>
  <si>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</si>
  <si>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</si>
  <si>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</si>
  <si>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</si>
  <si>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</si>
  <si>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</si>
  <si>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</si>
  <si>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</si>
  <si>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</si>
  <si>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</si>
  <si>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</si>
  <si>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</si>
  <si>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</si>
  <si>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</si>
  <si>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</si>
  <si>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</si>
  <si>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</si>
  <si>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</si>
  <si>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</si>
  <si>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</si>
  <si>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</si>
  <si>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</si>
  <si>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</si>
  <si>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</si>
  <si>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</si>
  <si>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</si>
  <si>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</si>
  <si>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</si>
  <si>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</si>
  <si>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</si>
  <si>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</si>
  <si>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</si>
  <si>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</si>
  <si>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</si>
  <si>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</si>
  <si>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</si>
  <si>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</si>
  <si>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</si>
  <si>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</si>
  <si>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</si>
  <si>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</si>
  <si>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</si>
  <si>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</si>
  <si>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</si>
  <si>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</si>
  <si>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</si>
  <si>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</si>
  <si>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</si>
  <si>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</si>
  <si>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</si>
  <si>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</si>
  <si>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</si>
  <si>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</si>
  <si>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</si>
  <si>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</si>
  <si>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</si>
  <si>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</si>
  <si>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</si>
  <si>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</si>
  <si>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</si>
  <si>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</si>
  <si>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</si>
  <si>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</si>
  <si>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</si>
  <si>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</si>
  <si>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</si>
  <si>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</si>
  <si>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</si>
  <si>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</si>
  <si>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</si>
  <si>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</si>
  <si>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</si>
  <si>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</si>
  <si>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</si>
  <si>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</si>
  <si>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</si>
  <si>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</si>
  <si>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</si>
  <si>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</si>
  <si>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</si>
  <si>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</si>
  <si>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</si>
  <si>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</si>
  <si>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</si>
  <si>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</si>
  <si>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</si>
  <si>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</si>
  <si>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</si>
  <si>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</si>
  <si>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</si>
  <si>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</si>
  <si>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</si>
  <si>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</si>
  <si>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</si>
  <si>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</si>
  <si>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</si>
  <si>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</si>
  <si>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</si>
  <si>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</si>
  <si>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</si>
  <si>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</si>
  <si>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</si>
  <si>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</si>
  <si>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</si>
  <si>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</si>
  <si>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</si>
  <si>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</si>
  <si>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</si>
  <si>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</si>
  <si>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</si>
  <si>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</si>
  <si>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</si>
  <si>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</si>
  <si>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</si>
  <si>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</si>
  <si>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</si>
  <si>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</si>
  <si>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</si>
  <si>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</si>
  <si>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</si>
  <si>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</si>
  <si>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</si>
  <si>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</si>
  <si>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</si>
  <si>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</si>
  <si>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</si>
  <si>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</si>
  <si>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</si>
  <si>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</si>
  <si>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</si>
  <si>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</si>
  <si>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</si>
  <si>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</si>
  <si>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</si>
  <si>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</si>
  <si>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</si>
  <si>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</si>
  <si>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</si>
  <si>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</si>
  <si>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</si>
  <si>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</si>
  <si>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</si>
  <si>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</si>
  <si>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</si>
  <si>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</si>
  <si>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</si>
  <si>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</si>
  <si>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</si>
  <si>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</si>
  <si>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</si>
  <si>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</si>
  <si>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</si>
  <si>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</si>
  <si>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</si>
  <si>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</si>
  <si>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</si>
  <si>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</si>
  <si>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</si>
  <si>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</si>
  <si>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</si>
  <si>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</si>
  <si>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</si>
  <si>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</si>
  <si>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</si>
  <si>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</si>
  <si>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</si>
  <si>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</si>
  <si>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</si>
  <si>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</si>
  <si>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</si>
  <si>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</si>
  <si>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</si>
  <si>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</si>
  <si>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</si>
  <si>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</si>
  <si>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</si>
  <si>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</si>
  <si>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</si>
  <si>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</si>
  <si>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</si>
  <si>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</si>
  <si>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</si>
  <si>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</si>
  <si>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</si>
  <si>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</si>
  <si>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</si>
  <si>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</si>
  <si>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</si>
  <si>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</si>
  <si>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</si>
  <si>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</si>
  <si>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</si>
  <si>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</si>
  <si>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</si>
  <si>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</si>
  <si>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</si>
  <si>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</si>
  <si>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</si>
  <si>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</si>
  <si>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</si>
  <si>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</si>
  <si>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</si>
  <si>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</si>
  <si>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</si>
  <si>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</si>
  <si>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</si>
  <si>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</si>
  <si>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</si>
  <si>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</si>
  <si>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</si>
  <si>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</si>
  <si>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</si>
  <si>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</si>
  <si>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</si>
  <si>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</si>
  <si>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</si>
  <si>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</si>
  <si>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</si>
  <si>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</si>
  <si>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</si>
  <si>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</si>
  <si>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</si>
  <si>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</si>
  <si>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</si>
  <si>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</si>
  <si>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</si>
  <si>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</si>
  <si>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</si>
  <si>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</si>
  <si>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</si>
  <si>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</si>
  <si>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</si>
  <si>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</si>
  <si>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</si>
  <si>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</si>
  <si>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</si>
  <si>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</si>
  <si>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</si>
  <si>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</si>
  <si>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</si>
  <si>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</si>
  <si>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</si>
  <si>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</si>
  <si>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</si>
  <si>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</si>
  <si>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</si>
  <si>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</si>
  <si>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</si>
  <si>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</si>
  <si>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</si>
  <si>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</si>
  <si>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</si>
  <si>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</si>
  <si>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</si>
  <si>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</si>
  <si>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</si>
  <si>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</si>
  <si>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</si>
  <si>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</si>
  <si>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</si>
  <si>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</si>
  <si>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</si>
  <si>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</si>
  <si>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</si>
  <si>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</si>
  <si>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</si>
  <si>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</si>
  <si>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</si>
  <si>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</si>
  <si>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</si>
  <si>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</si>
  <si>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</si>
  <si>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</si>
  <si>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</si>
  <si>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</si>
  <si>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</si>
  <si>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</si>
  <si>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</si>
  <si>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</si>
  <si>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</si>
  <si>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</si>
  <si>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</si>
  <si>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</si>
  <si>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</si>
  <si>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</si>
  <si>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</si>
  <si>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</si>
  <si>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</si>
  <si>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</si>
  <si>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</si>
  <si>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</si>
  <si>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</si>
  <si>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</si>
  <si>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</si>
  <si>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</si>
  <si>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</si>
  <si>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</si>
  <si>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</si>
  <si>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</si>
  <si>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</si>
  <si>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</si>
  <si>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</si>
  <si>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</si>
  <si>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</si>
  <si>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</si>
  <si>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</si>
  <si>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</si>
  <si>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</si>
  <si>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</si>
  <si>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</si>
  <si>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</si>
  <si>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</si>
  <si>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</si>
  <si>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</si>
  <si>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</si>
  <si>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</si>
  <si>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</si>
  <si>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</si>
  <si>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</si>
  <si>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</si>
  <si>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</si>
  <si>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</si>
  <si>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</si>
  <si>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</si>
  <si>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</si>
  <si>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</si>
  <si>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</si>
  <si>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</si>
  <si>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</si>
  <si>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</si>
  <si>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</si>
  <si>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</si>
  <si>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</si>
  <si>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</si>
  <si>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</si>
  <si>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</si>
  <si>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</si>
  <si>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</si>
  <si>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</si>
  <si>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</si>
  <si>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</si>
  <si>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</si>
  <si>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</si>
  <si>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</si>
  <si>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</si>
  <si>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</si>
  <si>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</si>
  <si>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</si>
  <si>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</si>
  <si>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</si>
  <si>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</si>
  <si>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</si>
  <si>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</si>
  <si>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</si>
  <si>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</si>
  <si>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</si>
  <si>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</si>
  <si>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</si>
  <si>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</si>
  <si>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</si>
  <si>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</si>
  <si>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</si>
  <si>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</si>
  <si>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</si>
  <si>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</si>
  <si>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</si>
  <si>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</si>
  <si>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</si>
  <si>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</si>
  <si>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</si>
  <si>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</si>
  <si>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</si>
  <si>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</si>
  <si>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</si>
  <si>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</si>
  <si>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</si>
  <si>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</si>
  <si>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</si>
  <si>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</si>
  <si>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</si>
  <si>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</si>
  <si>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</si>
  <si>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</si>
  <si>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</si>
  <si>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</si>
  <si>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</si>
  <si>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</si>
  <si>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</si>
  <si>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</si>
  <si>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</si>
  <si>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</si>
  <si>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</si>
  <si>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</si>
  <si>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</si>
  <si>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</si>
  <si>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</si>
  <si>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</si>
  <si>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</si>
  <si>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</si>
  <si>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</si>
  <si>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</si>
  <si>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</si>
  <si>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</si>
  <si>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</si>
  <si>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</si>
  <si>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</si>
  <si>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</si>
  <si>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</si>
  <si>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</si>
  <si>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</si>
  <si>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</si>
  <si>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</si>
  <si>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</si>
  <si>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</si>
  <si>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</si>
  <si>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</si>
  <si>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</si>
  <si>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</si>
  <si>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</si>
  <si>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</si>
  <si>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</si>
  <si>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</si>
  <si>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</si>
  <si>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</si>
  <si>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</si>
  <si>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</si>
  <si>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</si>
  <si>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</si>
  <si>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</si>
  <si>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</si>
  <si>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</si>
  <si>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</si>
  <si>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</si>
  <si>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</si>
  <si>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</si>
  <si>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</si>
  <si>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</si>
  <si>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</si>
  <si>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</si>
  <si>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</si>
  <si>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</si>
  <si>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</si>
  <si>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</si>
  <si>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</si>
  <si>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</si>
  <si>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</si>
  <si>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</si>
  <si>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</si>
  <si>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</si>
  <si>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</si>
  <si>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</si>
  <si>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</si>
  <si>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</si>
  <si>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</si>
  <si>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</si>
  <si>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</si>
  <si>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</si>
  <si>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</si>
  <si>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</si>
  <si>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</si>
  <si>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</si>
  <si>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</si>
  <si>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</si>
  <si>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</si>
  <si>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</si>
  <si>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</si>
  <si>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</si>
  <si>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</si>
  <si>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</si>
  <si>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</si>
  <si>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</si>
  <si>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</si>
  <si>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</si>
  <si>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</si>
  <si>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</si>
  <si>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</si>
  <si>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</si>
  <si>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</si>
  <si>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</si>
  <si>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</si>
  <si>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</si>
  <si>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</si>
  <si>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</si>
  <si>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</si>
  <si>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</si>
  <si>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</si>
  <si>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</si>
  <si>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</si>
  <si>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</si>
  <si>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</si>
  <si>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</si>
  <si>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</si>
  <si>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</si>
  <si>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</si>
  <si>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</si>
  <si>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</si>
  <si>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</si>
  <si>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</si>
  <si>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</si>
  <si>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</si>
  <si>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</si>
  <si>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</si>
  <si>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</si>
  <si>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</si>
  <si>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</si>
  <si>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</si>
  <si>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</si>
  <si>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</si>
  <si>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</si>
  <si>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</si>
  <si>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</si>
  <si>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</si>
  <si>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</si>
  <si>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</si>
  <si>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</si>
  <si>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</si>
  <si>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</si>
  <si>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</si>
  <si>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</si>
  <si>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</si>
  <si>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</si>
  <si>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</si>
  <si>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</si>
  <si>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</si>
  <si>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</si>
  <si>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</si>
  <si>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</si>
  <si>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</si>
  <si>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</si>
  <si>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</si>
  <si>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</si>
  <si>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</si>
  <si>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</si>
  <si>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</si>
  <si>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</si>
  <si>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</si>
  <si>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</si>
  <si>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</si>
  <si>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</si>
  <si>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</si>
  <si>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</si>
  <si>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</si>
  <si>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</si>
  <si>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</si>
  <si>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</si>
  <si>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</si>
  <si>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</si>
  <si>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</si>
  <si>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</si>
  <si>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</si>
  <si>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</si>
  <si>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</si>
  <si>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</si>
  <si>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</si>
  <si>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</si>
  <si>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</si>
  <si>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</si>
  <si>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</si>
  <si>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</si>
  <si>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</si>
  <si>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</si>
  <si>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</si>
  <si>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</si>
  <si>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</si>
  <si>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</si>
  <si>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</si>
  <si>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</si>
  <si>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</si>
  <si>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</si>
  <si>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</si>
  <si>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</si>
  <si>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</si>
  <si>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</si>
  <si>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</si>
  <si>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</si>
  <si>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</si>
  <si>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</si>
  <si>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</si>
  <si>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</si>
  <si>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</si>
  <si>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</si>
  <si>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</si>
  <si>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</si>
  <si>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</si>
  <si>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</si>
  <si>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</si>
  <si>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</si>
  <si>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</si>
  <si>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</si>
  <si>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</si>
  <si>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</si>
  <si>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</si>
  <si>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</si>
  <si>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</si>
  <si>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</si>
  <si>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</si>
  <si>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</si>
  <si>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</si>
  <si>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</si>
  <si>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</si>
  <si>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</si>
  <si>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</si>
  <si>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</si>
  <si>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</si>
  <si>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</si>
  <si>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</si>
  <si>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</si>
  <si>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</si>
  <si>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</si>
  <si>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</si>
  <si>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</si>
  <si>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是</t>
  </si>
  <si>
    <t>通路</t>
  </si>
  <si>
    <t>通电</t>
  </si>
  <si>
    <t>通讯</t>
  </si>
  <si>
    <t>通上水</t>
  </si>
  <si>
    <t>通下水</t>
  </si>
  <si>
    <t>通热</t>
  </si>
  <si>
    <t>Ⅸ-密云开发区</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</si>
  <si>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</si>
  <si>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</si>
  <si>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</si>
  <si>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</si>
  <si>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工业</t>
    <phoneticPr fontId="7" type="noConversion"/>
  </si>
  <si>
    <t>成新度</t>
  </si>
  <si>
    <t>直线</t>
    <phoneticPr fontId="3" type="noConversion"/>
  </si>
  <si>
    <t>观察</t>
    <phoneticPr fontId="3" type="noConversion"/>
  </si>
  <si>
    <t>收益法</t>
  </si>
  <si>
    <t>押一</t>
  </si>
  <si>
    <t>非生产用房</t>
  </si>
  <si>
    <t>否</t>
  </si>
  <si>
    <t>自定义容积率</t>
  </si>
  <si>
    <t>较好</t>
  </si>
  <si>
    <t>一般</t>
  </si>
  <si>
    <t>未包含在土地购买价格中</t>
  </si>
  <si>
    <t>全部缴纳</t>
  </si>
  <si>
    <t>已包含在土地取得成本中</t>
  </si>
  <si>
    <t>成本法</t>
  </si>
  <si>
    <t>砖混</t>
  </si>
  <si>
    <r>
      <t>1</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</si>
  <si>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1-5</t>
    </r>
    <r>
      <rPr>
        <sz val="11"/>
        <color indexed="8"/>
        <rFont val="宋体"/>
        <family val="3"/>
        <charset val="134"/>
      </rPr>
      <t>层</t>
    </r>
    <phoneticPr fontId="3" type="noConversion"/>
  </si>
  <si>
    <t>混合</t>
    <phoneticPr fontId="3" type="noConversion"/>
  </si>
  <si>
    <r>
      <t>2</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</si>
  <si>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t>
    </r>
    <r>
      <rPr>
        <sz val="11"/>
        <color indexed="8"/>
        <rFont val="宋体"/>
        <family val="3"/>
        <charset val="134"/>
      </rPr>
      <t>层</t>
    </r>
    <phoneticPr fontId="3" type="noConversion"/>
  </si>
  <si>
    <r>
      <t>3</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</si>
  <si>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2</t>
    </r>
    <r>
      <rPr>
        <sz val="11"/>
        <color indexed="8"/>
        <rFont val="宋体"/>
        <family val="3"/>
        <charset val="134"/>
      </rPr>
      <t>层</t>
    </r>
    <phoneticPr fontId="3" type="noConversion"/>
  </si>
  <si>
    <t>综合平均</t>
  </si>
  <si>
    <t>建筑面积</t>
  </si>
  <si>
    <t>单方建安</t>
  </si>
  <si>
    <t>合计</t>
  </si>
  <si>
    <t>主体</t>
  </si>
  <si>
    <t>地下</t>
  </si>
  <si>
    <t>装修</t>
  </si>
  <si>
    <t>设备</t>
  </si>
  <si>
    <t>人防</t>
  </si>
  <si>
    <r>
      <t>1</t>
    </r>
    <r>
      <rPr>
        <sz val="10"/>
        <color indexed="8"/>
        <rFont val="宋体"/>
        <family val="3"/>
        <charset val="134"/>
      </rPr>
      <t>号楼建安取值</t>
    </r>
    <phoneticPr fontId="3" type="noConversion"/>
  </si>
  <si>
    <r>
      <t>2</t>
    </r>
    <r>
      <rPr>
        <sz val="10"/>
        <color indexed="8"/>
        <rFont val="宋体"/>
        <family val="3"/>
        <charset val="134"/>
      </rPr>
      <t>号楼建安取值</t>
    </r>
    <phoneticPr fontId="3" type="noConversion"/>
  </si>
  <si>
    <r>
      <t>3</t>
    </r>
    <r>
      <rPr>
        <sz val="10"/>
        <color indexed="8"/>
        <rFont val="宋体"/>
        <family val="3"/>
        <charset val="134"/>
      </rPr>
      <t>号楼建安取值</t>
    </r>
    <phoneticPr fontId="3" type="noConversion"/>
  </si>
  <si>
    <t>房</t>
    <phoneticPr fontId="3" type="noConversion"/>
  </si>
  <si>
    <t>地</t>
    <phoneticPr fontId="3" type="noConversion"/>
  </si>
  <si>
    <t>总价</t>
  </si>
  <si>
    <t>成本比率</t>
  </si>
  <si>
    <t>与级别开发程度不一致</t>
  </si>
  <si>
    <t>平整</t>
  </si>
  <si>
    <t>正常</t>
  </si>
  <si>
    <t>非个人房产</t>
  </si>
  <si>
    <t>建造</t>
    <phoneticPr fontId="8" type="noConversion"/>
  </si>
  <si>
    <t>土地</t>
    <phoneticPr fontId="8" type="noConversion"/>
  </si>
  <si>
    <t>买卖合同</t>
  </si>
  <si>
    <t>2016年5月1日后购买</t>
  </si>
  <si>
    <t>情况3</t>
  </si>
  <si>
    <t>自行开发建设</t>
  </si>
  <si>
    <t>出让金+开发费</t>
  </si>
  <si>
    <t>企业提供（在右侧录入）</t>
  </si>
  <si>
    <t>固定资产入账原值</t>
    <phoneticPr fontId="8" type="noConversion"/>
  </si>
  <si>
    <t>股权转让</t>
    <phoneticPr fontId="8" type="noConversion"/>
  </si>
  <si>
    <t>1号楼</t>
    <phoneticPr fontId="134" type="noConversion"/>
  </si>
  <si>
    <t>2号楼</t>
    <phoneticPr fontId="134" type="noConversion"/>
  </si>
  <si>
    <t>3号楼</t>
    <phoneticPr fontId="134" type="noConversion"/>
  </si>
  <si>
    <t>土地价值</t>
    <phoneticPr fontId="134" type="noConversion"/>
  </si>
  <si>
    <t>总值</t>
    <phoneticPr fontId="134" type="noConversion"/>
  </si>
  <si>
    <t>单价</t>
    <phoneticPr fontId="134" type="noConversion"/>
  </si>
  <si>
    <t>面积</t>
    <phoneticPr fontId="134" type="noConversion"/>
  </si>
  <si>
    <t>建筑物</t>
    <phoneticPr fontId="134" type="noConversion"/>
  </si>
  <si>
    <t>建安取值</t>
    <phoneticPr fontId="134" type="noConversion"/>
  </si>
  <si>
    <t>拆分结果</t>
    <phoneticPr fontId="134" type="noConversion"/>
  </si>
  <si>
    <t>净值拆分</t>
    <phoneticPr fontId="134" type="noConversion"/>
  </si>
  <si>
    <t>分摊土地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</si>
</sst>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xf numFmtId="10" fontId="47" fillId="22" borderId="1" xfId="1" applyNumberFormat="1" applyFont="1" applyFill="1" applyBorder="1" applyAlignment="1" applyProtection="1">
      <alignment horizontal="center" vertical="center"/>
      <protection locked="0"/>
    </xf>
    <xf numFmtId="0" fontId="53" fillId="22" borderId="32" xfId="0" applyFont="1" applyFill="1" applyBorder="1" applyAlignment="1" applyProtection="1">
      <alignment horizontal="right" vertical="center" wrapText="1"/>
      <protection locked="0"/>
    </xf>
    <xf numFmtId="0" fontId="53" fillId="22" borderId="24" xfId="0" applyFont="1" applyFill="1" applyBorder="1" applyAlignment="1" applyProtection="1">
      <alignment horizontal="center" vertical="center"/>
      <protection locked="0"/>
    </xf>
    <xf numFmtId="0" fontId="77" fillId="6" borderId="0" xfId="0" applyFont="1" applyFill="1" applyProtection="1">
      <alignment vertical="center"/>
      <protection locked="0"/>
    </xf>
    <xf numFmtId="0" fontId="77" fillId="7" borderId="0" xfId="0" applyFont="1" applyFill="1" applyProtection="1">
      <alignment vertical="center"/>
      <protection locked="0"/>
    </xf>
    <xf numFmtId="0" fontId="53" fillId="16" borderId="24" xfId="1" applyNumberFormat="1" applyFont="1" applyFill="1" applyBorder="1" applyAlignment="1" applyProtection="1">
      <alignment horizontal="center" vertical="center"/>
      <protection locked="0"/>
    </xf>
    <xf numFmtId="0" fontId="95" fillId="0" borderId="0" xfId="0" applyFont="1">
      <alignment vertical="center"/>
    </xf>
    <xf numFmtId="0" fontId="0" fillId="16"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85329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71429"/>
        </a:xfrm>
        <a:prstGeom prst="rect">
          <a:avLst/>
        </a:prstGeom>
      </xdr:spPr>
    </xdr:pic>
    <xdr:clientData/>
  </xdr:twoCellAnchor>
  <xdr:twoCellAnchor editAs="oneCell">
    <xdr:from>
      <xdr:col>1</xdr:col>
      <xdr:colOff>0</xdr:colOff>
      <xdr:row>20</xdr:row>
      <xdr:rowOff>0</xdr:rowOff>
    </xdr:from>
    <xdr:to>
      <xdr:col>14</xdr:col>
      <xdr:colOff>646505</xdr:colOff>
      <xdr:row>28</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9561905" cy="1523810"/>
        </a:xfrm>
        <a:prstGeom prst="rect">
          <a:avLst/>
        </a:prstGeom>
      </xdr:spPr>
    </xdr:pic>
    <xdr:clientData/>
  </xdr:twoCellAnchor>
  <xdr:twoCellAnchor editAs="oneCell">
    <xdr:from>
      <xdr:col>1</xdr:col>
      <xdr:colOff>0</xdr:colOff>
      <xdr:row>30</xdr:row>
      <xdr:rowOff>0</xdr:rowOff>
    </xdr:from>
    <xdr:to>
      <xdr:col>15</xdr:col>
      <xdr:colOff>103562</xdr:colOff>
      <xdr:row>38</xdr:row>
      <xdr:rowOff>123638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143500"/>
          <a:ext cx="9704762"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估价对象为北京市房地产，为所有。根据《国有土地使用证》[]，估价对象（分摊）出让国有建设用地使用权面积为25252.5平方米，建筑面积为8527.78平方米。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估价对象为北京市房地产,属开发建设的，该项目尚在开发建设中。根据《国有土地使用证》[]，估价对象（分摊）出让国有建设用地使用权面积为25252.5平方米，规划建筑面积为8527.78平方米。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2024年5月13日（评估专业人员实地查勘之日）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4653</v>
      </c>
    </row>
    <row r="21" spans="1:2" s="1203" customFormat="1">
      <c r="A21" s="1201" t="s">
        <v>537</v>
      </c>
      <c r="B21" s="1202">
        <f ca="1">'预评函-2'!D7</f>
        <v>5456</v>
      </c>
    </row>
    <row r="22" spans="1:2" s="1203" customFormat="1">
      <c r="A22" s="1201" t="s">
        <v>538</v>
      </c>
      <c r="B22" s="1202" t="str">
        <f ca="1">'预评函-2'!D6</f>
        <v>肆仟陆佰伍拾叁万元整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4653</v>
      </c>
    </row>
    <row r="31" spans="1:2" s="1203" customFormat="1">
      <c r="A31" s="1201" t="s">
        <v>576</v>
      </c>
      <c r="B31" s="1202">
        <f ca="1">'预评函-2'!D15</f>
        <v>5456</v>
      </c>
    </row>
    <row r="32" spans="1:2" s="1203" customFormat="1">
      <c r="A32" s="1201" t="s">
        <v>543</v>
      </c>
      <c r="B32" s="1202" t="str">
        <f ca="1">'预评函-2'!D14</f>
        <v>肆仟陆佰伍拾叁万元整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4407</v>
      </c>
    </row>
    <row r="39" spans="1:2" s="1203" customFormat="1">
      <c r="A39" s="1201" t="s">
        <v>545</v>
      </c>
      <c r="B39" s="1202">
        <f ca="1">'预评函-2'!D21</f>
        <v>5168</v>
      </c>
    </row>
    <row r="40" spans="1:2" s="1203" customFormat="1">
      <c r="A40" s="1201" t="s">
        <v>546</v>
      </c>
      <c r="B40" s="1202" t="str">
        <f ca="1">'预评函-2'!D20</f>
        <v>肆仟肆佰零柒万元整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8527.7800000000007</v>
      </c>
    </row>
    <row r="44" spans="1:2" s="1203" customFormat="1">
      <c r="A44" s="1201" t="s">
        <v>575</v>
      </c>
      <c r="B44" s="1202" t="str">
        <f>'预评函-3'!C2</f>
        <v>(分摊)土地面积</v>
      </c>
    </row>
    <row r="45" spans="1:2" s="1203" customFormat="1">
      <c r="A45" s="1201" t="s">
        <v>547</v>
      </c>
      <c r="B45" s="1202">
        <f>'预评函-3'!C4</f>
        <v>25252.5</v>
      </c>
    </row>
    <row r="46" spans="1:2" s="1203" customFormat="1">
      <c r="A46" s="1201" t="s">
        <v>573</v>
      </c>
      <c r="B46" s="1202" t="str">
        <f>'预评函-3'!D2</f>
        <v>出让国有建设用地使用权价值</v>
      </c>
    </row>
    <row r="47" spans="1:2" s="1203" customFormat="1">
      <c r="A47" s="1201" t="s">
        <v>548</v>
      </c>
      <c r="B47" s="1202">
        <f ca="1">'预评函-3'!D4</f>
        <v>2848</v>
      </c>
    </row>
    <row r="48" spans="1:2" s="1203" customFormat="1">
      <c r="A48" s="1201" t="s">
        <v>549</v>
      </c>
      <c r="B48" s="1202">
        <f ca="1">'预评函-3'!E4</f>
        <v>3339</v>
      </c>
    </row>
    <row r="49" spans="1:2" s="1203" customFormat="1">
      <c r="A49" s="1201" t="s">
        <v>550</v>
      </c>
      <c r="B49" s="1202" t="str">
        <f ca="1">'预评函-3'!D5</f>
        <v>贰仟捌佰肆拾捌万元整</v>
      </c>
    </row>
    <row r="50" spans="1:2" s="1203" customFormat="1">
      <c r="A50" s="1201" t="s">
        <v>574</v>
      </c>
      <c r="B50" s="1202" t="str">
        <f>'预评函-3'!F2</f>
        <v>在建建筑物价值</v>
      </c>
    </row>
    <row r="51" spans="1:2" s="1203" customFormat="1">
      <c r="A51" s="1201" t="s">
        <v>551</v>
      </c>
      <c r="B51" s="1202">
        <f ca="1">'预评函-3'!F4</f>
        <v>1805</v>
      </c>
    </row>
    <row r="52" spans="1:2" s="1203" customFormat="1">
      <c r="A52" s="1201" t="s">
        <v>552</v>
      </c>
      <c r="B52" s="1202">
        <f ca="1">'预评函-3'!G4</f>
        <v>2117</v>
      </c>
    </row>
    <row r="53" spans="1:2" s="1203" customFormat="1">
      <c r="A53" s="1201" t="s">
        <v>580</v>
      </c>
      <c r="B53" s="1202" t="str">
        <f ca="1">'预评函-3'!F5</f>
        <v>壹仟捌佰零伍万元整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9" t="s">
        <v>2584</v>
      </c>
      <c r="J2" s="3499"/>
      <c r="K2" s="3499"/>
      <c r="L2" s="3499"/>
      <c r="M2" s="3499"/>
      <c r="N2" s="3499"/>
      <c r="O2" s="3499"/>
      <c r="P2" s="3499"/>
      <c r="Q2" s="3499"/>
      <c r="R2" s="3499"/>
    </row>
    <row r="3" spans="1:18">
      <c r="A3" s="3019" t="s">
        <v>2505</v>
      </c>
      <c r="B3" s="3020">
        <f>项目基本情况!D3</f>
        <v>45425</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v>
      </c>
      <c r="D5" s="3024">
        <f>IF(ISERROR(ROUND(POWER(1+E5,A5-C5)*(POWER(1+E5,C5)-1)/(POWER(1+E5,A5)-1),3)),0,ROUND(POWER(1+E5,A5-C5)*(POWER(1+E5,C5)-1)/(POWER(1+E5,A5)-1),4))</f>
        <v>0.1225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12.61</v>
      </c>
      <c r="D6" s="3024">
        <f>IF(ISERROR(ROUND(POWER(1+E6,A6-C6)*(POWER(1+E6,C6)-1)/(POWER(1+E6,A6)-1),3)),0,ROUND(POWER(1+E6,A6-C6)*(POWER(1+E6,C6)-1)/(POWER(1+E6,A6)-1),4))</f>
        <v>0.4541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32.619999999999997</v>
      </c>
      <c r="D7" s="3024">
        <f>IF(ISERROR(ROUND(POWER(1+E7,A7-C7)*(POWER(1+E7,C7)-1)/(POWER(1+E7,A7)-1),3)),0,ROUND(POWER(1+E7,A7-C7)*(POWER(1+E7,C7)-1)/(POWER(1+E7,A7)-1),4))</f>
        <v>0.77129999999999999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H43" sqref="H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45425</v>
      </c>
      <c r="C3" s="2373" t="s">
        <v>2171</v>
      </c>
      <c r="D3" s="2372">
        <f>B3</f>
        <v>45425</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03"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04"/>
      <c r="E9" s="2393" t="s">
        <v>587</v>
      </c>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3386</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3336</v>
      </c>
      <c r="B13" s="2406" t="s">
        <v>2190</v>
      </c>
      <c r="C13" s="856"/>
      <c r="D13" s="856"/>
      <c r="E13" s="856"/>
      <c r="F13" s="856"/>
      <c r="G13" s="856"/>
      <c r="H13" s="856">
        <v>55462</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27.49</v>
      </c>
      <c r="I15" s="2409" t="str">
        <f>IF(A13="出让",IF(I13="","",ROUNDDOWN(MIN((I13-$D$3)/365,I14),2)),I14)</f>
        <v/>
      </c>
      <c r="J15" s="3063"/>
      <c r="K15" s="2450"/>
      <c r="L15" s="2450"/>
      <c r="M15" s="2508"/>
      <c r="N15" s="2450"/>
      <c r="O15" s="2508"/>
      <c r="P15" s="2438"/>
      <c r="Q15" s="2438"/>
      <c r="AD15" s="1745"/>
    </row>
    <row r="16" spans="1:30">
      <c r="A16" s="2399" t="s">
        <v>2193</v>
      </c>
      <c r="B16" s="3510"/>
      <c r="C16" s="3511"/>
      <c r="D16" s="3512"/>
      <c r="E16" s="2412" t="s">
        <v>2194</v>
      </c>
      <c r="F16" s="3513"/>
      <c r="G16" s="3514"/>
      <c r="H16" s="3514"/>
      <c r="I16" s="3515"/>
      <c r="J16" s="2438"/>
      <c r="K16" s="2616"/>
      <c r="L16" s="2450"/>
      <c r="M16" s="2450"/>
      <c r="N16" s="2508"/>
      <c r="O16" s="2450"/>
      <c r="P16" s="2508"/>
      <c r="Q16" s="2438"/>
      <c r="R16" s="2438"/>
    </row>
    <row r="17" spans="1:28">
      <c r="A17" s="313" t="s">
        <v>2195</v>
      </c>
      <c r="B17" s="302" t="s">
        <v>2196</v>
      </c>
      <c r="C17" s="8">
        <f>'数据-汇总表'!E3</f>
        <v>8527.7800000000007</v>
      </c>
      <c r="D17" s="2321" t="s">
        <v>2197</v>
      </c>
      <c r="E17" s="3516" t="s">
        <v>2198</v>
      </c>
      <c r="F17" s="3517"/>
      <c r="G17" s="3517"/>
      <c r="H17" s="3517"/>
      <c r="I17" s="3518"/>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25252.5</v>
      </c>
      <c r="D18" s="1092" t="s">
        <v>2201</v>
      </c>
      <c r="E18" s="3519" t="s">
        <v>2202</v>
      </c>
      <c r="F18" s="3520"/>
      <c r="G18" s="3520"/>
      <c r="H18" s="3520"/>
      <c r="I18" s="3521"/>
      <c r="J18" s="2438"/>
      <c r="K18" s="2617"/>
      <c r="L18" s="2450"/>
      <c r="M18" s="2450"/>
      <c r="N18" s="2508"/>
      <c r="O18" s="2450"/>
      <c r="P18" s="2508"/>
      <c r="Q18" s="2438"/>
      <c r="R18" s="2438"/>
      <c r="S18" s="2438"/>
      <c r="T18" s="2438"/>
      <c r="U18" s="2438"/>
      <c r="V18" s="2438"/>
    </row>
    <row r="19" spans="1:28" ht="37.5" thickTop="1" thickBot="1">
      <c r="A19" s="327" t="s">
        <v>1055</v>
      </c>
      <c r="B19" s="307" t="s">
        <v>2203</v>
      </c>
      <c r="C19" s="1563" t="s">
        <v>3387</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6" t="s">
        <v>2206</v>
      </c>
      <c r="C20" s="3507"/>
      <c r="D20" s="3508" t="s">
        <v>2207</v>
      </c>
      <c r="E20" s="3509"/>
      <c r="F20" s="2646" t="s">
        <v>1056</v>
      </c>
      <c r="G20" s="2663"/>
      <c r="H20" s="2663"/>
      <c r="I20" s="2663"/>
      <c r="J20" s="2438"/>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4"/>
      <c r="B30" s="302" t="s">
        <v>2218</v>
      </c>
      <c r="C30" s="3525"/>
      <c r="D30" s="3526"/>
      <c r="E30" s="2663"/>
      <c r="F30" s="2663"/>
      <c r="G30" s="2663"/>
      <c r="H30" s="2663"/>
      <c r="I30" s="2663"/>
      <c r="J30" s="2438"/>
      <c r="K30" s="2615"/>
      <c r="L30" s="2612"/>
      <c r="M30" s="2612"/>
      <c r="N30" s="2438"/>
      <c r="O30" s="2449"/>
      <c r="P30" s="2438"/>
      <c r="Q30" s="2438"/>
      <c r="R30" s="2438"/>
      <c r="S30" s="2438"/>
      <c r="T30" s="2438"/>
      <c r="U30" s="2438"/>
      <c r="V30" s="2438"/>
    </row>
    <row r="31" spans="1:28">
      <c r="A31" s="3527"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8"/>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t="s">
        <v>3388</v>
      </c>
      <c r="C34" s="2026" t="s">
        <v>3389</v>
      </c>
      <c r="D34" s="2026" t="s">
        <v>3390</v>
      </c>
      <c r="E34" s="2026" t="s">
        <v>3391</v>
      </c>
      <c r="F34" s="2026" t="s">
        <v>3392</v>
      </c>
      <c r="G34" s="2026" t="s">
        <v>43</v>
      </c>
      <c r="H34" s="2026" t="s">
        <v>3393</v>
      </c>
      <c r="I34" s="2663"/>
      <c r="J34" s="2438"/>
      <c r="K34" s="2426">
        <f>COUNTIF(B34:H34,"——")</f>
        <v>1</v>
      </c>
      <c r="L34" s="323" t="s">
        <v>2221</v>
      </c>
      <c r="M34" s="323" t="s">
        <v>2222</v>
      </c>
      <c r="N34" s="323" t="s">
        <v>2223</v>
      </c>
      <c r="O34" s="323" t="s">
        <v>2224</v>
      </c>
      <c r="P34" s="323" t="s">
        <v>2225</v>
      </c>
      <c r="Q34" s="323" t="s">
        <v>2226</v>
      </c>
      <c r="R34" s="323" t="s">
        <v>2227</v>
      </c>
      <c r="S34" s="3522" t="s">
        <v>2228</v>
      </c>
      <c r="T34" s="2427" t="str">
        <f>NUMBERSTRING(7-K34,1)&amp;"通"</f>
        <v>六通</v>
      </c>
      <c r="U34" s="2438"/>
      <c r="V34" s="2438"/>
    </row>
    <row r="35" spans="1:30">
      <c r="A35" s="2428"/>
      <c r="B35" s="3529" t="s">
        <v>2229</v>
      </c>
      <c r="C35" s="3529"/>
      <c r="D35" s="3529"/>
      <c r="E35" s="3529"/>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通路、通电、通讯、通上水、通下水、——、通热</v>
      </c>
      <c r="S35" s="3522"/>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3394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25252.5</v>
      </c>
      <c r="B3" s="11">
        <f>IF(C3="否",G5-AT5,G5)</f>
        <v>8527.7800000000007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8527.7800000000007</v>
      </c>
      <c r="H5" s="13">
        <f t="shared" ref="H5:AT5" si="0">SUM(H13:H656)</f>
        <v>8527.7800000000007</v>
      </c>
      <c r="I5" s="13">
        <f t="shared" si="0"/>
        <v>8527.7800000000007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8527.7800000000007</v>
      </c>
      <c r="BA5" s="15">
        <f t="shared" si="1"/>
        <v>8527.7800000000007</v>
      </c>
      <c r="BB5" s="15">
        <f t="shared" si="1"/>
        <v>8527.7800000000007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25252.5</v>
      </c>
      <c r="F6" s="13" t="s">
        <v>0</v>
      </c>
      <c r="G6" s="13" t="s">
        <v>1</v>
      </c>
      <c r="H6" s="17">
        <f>SUMIF(I$12:AB$12,"总值",I6:AB6)</f>
        <v>25252.5</v>
      </c>
      <c r="I6" s="13">
        <f t="shared" ref="I6:AB6" si="2">ROUND($A$3*I5/$B$3,2)</f>
        <v>25252.5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25252.5</v>
      </c>
      <c r="AZ6" s="13" t="s">
        <v>2</v>
      </c>
      <c r="BA6" s="13">
        <f>ROUND($AY$6*BA5/$AZ$5,2)</f>
        <v>25252.5</v>
      </c>
      <c r="BB6" s="13">
        <f>ROUND($AY$6*BB5/$AZ$5,2)</f>
        <v>25252.5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3387</v>
      </c>
      <c r="E13" s="13">
        <f>IF($C$3="是",ROUND($A$3*G13/$B$3,2),ROUND($A$3*(G13-AT13)/$B$3,2))</f>
        <v>7408.28</v>
      </c>
      <c r="F13" s="29"/>
      <c r="G13" s="30">
        <f>H13+AC13+AT13</f>
        <v>2501.7800000000002</v>
      </c>
      <c r="H13" s="17">
        <f>SUMIF(I$12:AB$12,"总值",I13:AB13)</f>
        <v>2501.7800000000002</v>
      </c>
      <c r="I13" s="1626">
        <v>2501.7800000000002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7408.28</v>
      </c>
      <c r="AZ13" s="13">
        <f>BA13+BL13</f>
        <v>2501.7800000000002</v>
      </c>
      <c r="BA13" s="13">
        <f>SUM(BB13:BK13)</f>
        <v>2501.7800000000002</v>
      </c>
      <c r="BB13" s="13">
        <f>IF($D13="是",I13-J13,0)</f>
        <v>2501.7800000000002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3396</v>
      </c>
      <c r="D14" s="1625" t="s">
        <v>3387</v>
      </c>
      <c r="E14" s="13">
        <f>IF($C$3="是",ROUND($A$3*G14/$B$3,2),ROUND($A$3*(G14-AT14)/$B$3,2))</f>
        <v>2601.15</v>
      </c>
      <c r="F14" s="29"/>
      <c r="G14" s="30">
        <f>H14+AC14+AT14</f>
        <v>878.41</v>
      </c>
      <c r="H14" s="17">
        <f>SUMIF(I$12:AB$12,"总值",I14:AB14)</f>
        <v>878.41</v>
      </c>
      <c r="I14" s="1626">
        <v>878.41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2601.15</v>
      </c>
      <c r="AZ14" s="13">
        <f>BA14+BL14</f>
        <v>878.41</v>
      </c>
      <c r="BA14" s="13">
        <f>SUM(BB14:BK14)</f>
        <v>878.41</v>
      </c>
      <c r="BB14" s="13">
        <f>IF($D14="是",I14-J14,0)</f>
        <v>878.41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3397</v>
      </c>
      <c r="D15" s="1625" t="s">
        <v>3387</v>
      </c>
      <c r="E15" s="13">
        <f>IF($C$3="是",ROUND($A$3*G15/$B$3,2),ROUND($A$3*(G15-AT15)/$B$3,2))</f>
        <v>15243.07</v>
      </c>
      <c r="F15" s="29"/>
      <c r="G15" s="30">
        <f>H15+AC15+AT15</f>
        <v>5147.59</v>
      </c>
      <c r="H15" s="17">
        <f>SUMIF(I$12:AB$12,"总值",I15:AB15)</f>
        <v>5147.59</v>
      </c>
      <c r="I15" s="1626">
        <v>5147.59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15243.07</v>
      </c>
      <c r="AZ15" s="13">
        <f>BA15+BL15</f>
        <v>5147.59</v>
      </c>
      <c r="BA15" s="13">
        <f>SUM(BB15:BK15)</f>
        <v>5147.59</v>
      </c>
      <c r="BB15" s="13">
        <f>IF($D15="是",I15-J15,0)</f>
        <v>5147.59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8"/>
      <c r="G2" s="2649"/>
      <c r="H2" s="2650"/>
      <c r="I2" s="2324" t="s">
        <v>1132</v>
      </c>
      <c r="J2" s="2658"/>
      <c r="K2" s="2658"/>
      <c r="L2" s="2658"/>
      <c r="M2" s="2658"/>
      <c r="N2" s="2660"/>
      <c r="O2" s="2658"/>
      <c r="P2" s="2658"/>
    </row>
    <row r="3" spans="1:16" ht="15.75" thickBot="1">
      <c r="A3" s="3540" t="s">
        <v>1105</v>
      </c>
      <c r="B3" s="3540"/>
      <c r="C3" s="3540"/>
      <c r="D3" s="43">
        <f>'数据-基础表'!AY6</f>
        <v>25252.5</v>
      </c>
      <c r="E3" s="43">
        <f>'数据-基础表'!AZ5</f>
        <v>8527.7800000000007</v>
      </c>
      <c r="F3" s="2658"/>
      <c r="G3" s="1145"/>
      <c r="H3" s="1026" t="s">
        <v>1106</v>
      </c>
      <c r="I3" s="855">
        <f>ROUND('数据-基础表'!B3/'数据-基础表'!A3,2)</f>
        <v>0.34</v>
      </c>
      <c r="J3" s="2658"/>
      <c r="K3" s="2658"/>
      <c r="L3" s="2658"/>
      <c r="M3" s="2658"/>
      <c r="N3" s="2660"/>
      <c r="O3" s="2658"/>
      <c r="P3" s="2658"/>
    </row>
    <row r="4" spans="1:16" ht="15">
      <c r="A4" s="3541"/>
      <c r="B4" s="3542"/>
      <c r="C4" s="3543"/>
      <c r="D4" s="1641" t="s">
        <v>1107</v>
      </c>
      <c r="E4" s="1642" t="s">
        <v>1108</v>
      </c>
      <c r="F4" s="2658"/>
      <c r="G4" s="2651" t="s">
        <v>1133</v>
      </c>
      <c r="H4" s="1026" t="s">
        <v>1113</v>
      </c>
      <c r="I4" s="855">
        <f>ROUND(SUMIF('数据-基础表'!I9:AS9,"地上",'数据-基础表'!I5:AS5)/'数据-基础表'!A3,2)</f>
        <v>0.34</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5"/>
      <c r="H5" s="1026" t="s">
        <v>1106</v>
      </c>
      <c r="I5" s="855">
        <f>ROUND(E31/D31,2)</f>
        <v>0.34</v>
      </c>
      <c r="J5" s="2658"/>
      <c r="K5" s="2658"/>
      <c r="L5" s="2658"/>
      <c r="M5" s="2658"/>
      <c r="N5" s="2658"/>
      <c r="O5" s="2658"/>
      <c r="P5" s="2658"/>
    </row>
    <row r="6" spans="1:16" ht="15" thickBot="1">
      <c r="A6" s="1644"/>
      <c r="B6" s="3544" t="s">
        <v>1111</v>
      </c>
      <c r="C6" s="3544"/>
      <c r="D6" s="45">
        <f>ROUND($D$3*E6/$E$3,2)</f>
        <v>25252.5</v>
      </c>
      <c r="E6" s="46">
        <f>E3-E5</f>
        <v>8527.7800000000007</v>
      </c>
      <c r="F6" s="2658"/>
      <c r="G6" s="2652" t="s">
        <v>1112</v>
      </c>
      <c r="H6" s="1146" t="s">
        <v>1113</v>
      </c>
      <c r="I6" s="2653">
        <f>ROUND(F31/D31,2)</f>
        <v>0.34</v>
      </c>
      <c r="J6" s="2658"/>
      <c r="K6" s="2658"/>
      <c r="L6" s="2658"/>
      <c r="M6" s="2658"/>
      <c r="N6" s="2658"/>
      <c r="O6" s="2658"/>
      <c r="P6" s="2658"/>
    </row>
    <row r="7" spans="1:16" ht="15.75" thickBot="1">
      <c r="A7" s="3536"/>
      <c r="B7" s="3537"/>
      <c r="C7" s="3538"/>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25252.5</v>
      </c>
      <c r="E8" s="48">
        <f>SUMIF('数据-基础表'!BB10:BK10,"地上",'数据-基础表'!BB5:BK5)</f>
        <v>8527.7800000000007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25252.5</v>
      </c>
      <c r="E16" s="50">
        <f>SUM(E8:E15)</f>
        <v>8527.7800000000007</v>
      </c>
      <c r="F16" s="2658"/>
      <c r="G16" s="2659"/>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3399</v>
      </c>
      <c r="D19" s="45">
        <f>ROUND($D$3*E19/$E$3,2)</f>
        <v>25252.5</v>
      </c>
      <c r="E19" s="53">
        <f t="shared" ref="E19:E26" si="1">SUM(F19:G19)</f>
        <v>8527.7800000000007</v>
      </c>
      <c r="F19" s="2794">
        <f>'数据-基础表'!I5</f>
        <v>8527.7800000000007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25252.5</v>
      </c>
      <c r="S19" s="1027">
        <f t="shared" si="5"/>
        <v>8527.7800000000007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25252.5</v>
      </c>
      <c r="E27" s="1141">
        <f>IF(SUM(E19:E26)='数据-基础表'!BA5,SUM(E19:E26),IF(F27="地上面积有误","面积有误","地下面积有误"))</f>
        <v>8527.7800000000007</v>
      </c>
      <c r="F27" s="1140">
        <f>IF(SUM(F19:F26)=E8,SUM(F19:F26),"地上面积有误")</f>
        <v>8527.7800000000007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25252.5</v>
      </c>
      <c r="S27" s="1026">
        <f>IF(SUM(S19:S26)=$E$3,SUM(S19:S26),SUM(S19:S26)&amp;"误差"&amp;ROUND(SUM(S19:S26)-E3,2))</f>
        <v>8527.7800000000007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25252.5</v>
      </c>
      <c r="E31" s="676">
        <f>E27+E30</f>
        <v>8527.7800000000007</v>
      </c>
      <c r="F31" s="677">
        <f>F27+F30</f>
        <v>8527.7800000000007</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12" activePane="bottomRight" state="frozen"/>
      <selection activeCell="C50" sqref="C50"/>
      <selection pane="topRight" activeCell="C50" sqref="C50"/>
      <selection pane="bottomLeft" activeCell="C50" sqref="C50"/>
      <selection pane="bottomRight" activeCell="L21" sqref="L21:L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55462</v>
      </c>
      <c r="F6" s="64">
        <f>SUMIF(项目基本情况!C$12:I$12,C6,项目基本情况!C$15:I$15)</f>
        <v>27.49</v>
      </c>
      <c r="G6" s="65">
        <f>IF(ISERROR(ROUND(POWER(1+H6,D6-F6)*(POWER(1+H6,F6)-1)/(POWER(1+H6,D6)-1),3)),0,ROUND(POWER(1+H6,D6-F6)*(POWER(1+H6,F6)-1)/(POWER(1+H6,D6)-1),3))</f>
        <v>0.80900000000000005</v>
      </c>
      <c r="H6" s="732">
        <v>0.05</v>
      </c>
      <c r="I6" s="732">
        <v>5.5E-2</v>
      </c>
      <c r="J6" s="66">
        <v>7.0000000000000007E-2</v>
      </c>
      <c r="K6" s="1030">
        <f>SUMIF('数据-汇总表'!C$19:C$33,A6,'数据-汇总表'!E$19:E$33)</f>
        <v>8527.7800000000007</v>
      </c>
      <c r="L6" s="733">
        <v>2300</v>
      </c>
      <c r="M6" s="67">
        <f t="shared" ref="M6:M14" si="0">ROUND(K6*L6/10000,0)</f>
        <v>1961</v>
      </c>
      <c r="N6" s="3450">
        <f>N20</f>
        <v>0.69</v>
      </c>
      <c r="O6" s="67" t="str">
        <f>IF($N$5="成新度","——",ROUND(M6*N6,0))</f>
        <v>——</v>
      </c>
      <c r="P6" s="68" t="str">
        <f>IF($N$5="成新度","——",M6-O6)</f>
        <v>——</v>
      </c>
      <c r="Q6" s="734">
        <v>0.08</v>
      </c>
      <c r="R6" s="69">
        <f ca="1">SUMIF('数据-汇总表'!C$19:C$33,A6,'数据-汇总表'!R$19:R$27)</f>
        <v>25252.5</v>
      </c>
      <c r="S6" s="51">
        <f>IF('数据-汇总表'!$I$17="按面积比例",SUMIF('数据-汇总表'!C$19:C$33,A6,'数据-汇总表'!K$19:K$33),SUMIF('数据-汇总表'!C$19:C$33,A6,'数据-汇总表'!N$19:N$33))</f>
        <v>0</v>
      </c>
      <c r="T6" s="1172">
        <f>ROUND($L$14*S6/10000,0)</f>
        <v>0</v>
      </c>
      <c r="U6" s="3427">
        <v>1.25</v>
      </c>
      <c r="V6" s="70">
        <v>0.02</v>
      </c>
      <c r="W6" s="70">
        <v>0.15</v>
      </c>
      <c r="X6" s="1040"/>
      <c r="Y6" s="71">
        <f>N6</f>
        <v>0.69</v>
      </c>
      <c r="Z6" s="72"/>
      <c r="AA6" s="66"/>
      <c r="AB6" s="66"/>
      <c r="AC6" s="1040"/>
      <c r="AD6" s="73"/>
      <c r="AE6" s="1041">
        <f ca="1">IF(AN6="",0,SUMIF(INDIRECT("'"&amp;AN6&amp;"'"&amp;"!E:E"),$AE$5,INDIRECT("'"&amp;AN6&amp;"'"&amp;"!F:F")))</f>
        <v>27.49</v>
      </c>
      <c r="AF6" s="1348"/>
      <c r="AG6" s="138">
        <f>IF(AF6="",0,AE6-AF6)</f>
        <v>0</v>
      </c>
      <c r="AH6" s="74"/>
      <c r="AI6" s="76">
        <v>365</v>
      </c>
      <c r="AJ6" s="77"/>
      <c r="AK6" s="78">
        <v>5.0000000000000001E-3</v>
      </c>
      <c r="AL6" s="79">
        <v>1E-3</v>
      </c>
      <c r="AM6" s="80">
        <v>0.01</v>
      </c>
      <c r="AN6" s="1715" t="s">
        <v>3403</v>
      </c>
      <c r="AO6" s="52">
        <f ca="1">SUMIF(INDIRECT("'"&amp;AN6&amp;"'"&amp;"!A:A"),"总价",INDIRECT("'"&amp;AN6&amp;"'"&amp;"!B:B"))</f>
        <v>4517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0.80900000000000005</v>
      </c>
      <c r="H16" s="90">
        <f>ROUND(SUMPRODUCT(H6:H13,K6:K13)/SUMPRODUCT((H6:H13&gt;0)*(K6:K13)),3)</f>
        <v>0.05</v>
      </c>
      <c r="I16" s="91"/>
      <c r="J16" s="91"/>
      <c r="K16" s="92">
        <f>SUM(K6:K15)</f>
        <v>8527.7800000000007</v>
      </c>
      <c r="L16" s="93">
        <f>ROUND(M16*10000/SUM(K6:K14),0)</f>
        <v>2300</v>
      </c>
      <c r="M16" s="93">
        <f>SUM(M6:M14)</f>
        <v>1961</v>
      </c>
      <c r="N16" s="94">
        <f>ROUND(SUMPRODUCT(M6:M14,N6:N14)/M16,3)</f>
        <v>0.69</v>
      </c>
      <c r="O16" s="93">
        <f>SUM(O6:O14)</f>
        <v>0</v>
      </c>
      <c r="P16" s="93">
        <f>SUM(P6:P14)</f>
        <v>0</v>
      </c>
      <c r="Q16" s="95">
        <f>ROUND(SUMPRODUCT(Q6:Q13,K6:K13)/SUMPRODUCT((Q6:Q13&gt;0)*(K6:K13)),2)</f>
        <v>0.08</v>
      </c>
      <c r="R16" s="1034">
        <f ca="1">SUM(R6:R13)</f>
        <v>25252.5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8" t="s">
        <v>3401</v>
      </c>
      <c r="N18" s="2670">
        <f>ROUND(1-(1-2%)*(2024-2002)/50,2)</f>
        <v>0.56999999999999995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3448" t="s">
        <v>3402</v>
      </c>
      <c r="N19" s="2670">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f>ROUND((N18+N19)/2,2)</f>
        <v>0.69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1</v>
      </c>
      <c r="C21" s="2672"/>
      <c r="D21" s="2675"/>
      <c r="E21" s="2672"/>
      <c r="F21" s="2672"/>
      <c r="G21" s="2672"/>
      <c r="H21" s="2672" t="s">
        <v>3415</v>
      </c>
      <c r="I21" s="2672" t="s">
        <v>3416</v>
      </c>
      <c r="J21" s="3449" t="s">
        <v>3417</v>
      </c>
      <c r="K21" s="2671">
        <f>'数据-基础表'!I13</f>
        <v>2501.7800000000002</v>
      </c>
      <c r="L21" s="2671">
        <f>Q29</f>
        <v>2350</v>
      </c>
      <c r="M21" s="2670">
        <f>L21*K21</f>
        <v>5879183.0000000009</v>
      </c>
      <c r="N21" s="2670"/>
      <c r="O21" s="2670" t="s">
        <v>3431</v>
      </c>
      <c r="P21" s="2670"/>
      <c r="Q21" s="2670"/>
      <c r="R21" s="2670"/>
      <c r="S21" s="2670"/>
      <c r="T21" s="2670" t="s">
        <v>3395</v>
      </c>
      <c r="U21" s="2670">
        <f>K21</f>
        <v>2501.7800000000002</v>
      </c>
      <c r="V21" s="2670">
        <v>1</v>
      </c>
      <c r="W21" s="2670">
        <f>V21*U21</f>
        <v>2501.7800000000002</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t="s">
        <v>3418</v>
      </c>
      <c r="I22" s="2672" t="s">
        <v>3419</v>
      </c>
      <c r="J22" s="3449" t="s">
        <v>3417</v>
      </c>
      <c r="K22" s="2671">
        <f>'数据-基础表'!I14</f>
        <v>878.41</v>
      </c>
      <c r="L22" s="2671">
        <f>Q39</f>
        <v>1600</v>
      </c>
      <c r="M22" s="2670">
        <f t="shared" ref="M22:M23" si="12">L22*K22</f>
        <v>1405456</v>
      </c>
      <c r="N22" s="2670"/>
      <c r="O22" s="2670"/>
      <c r="P22" s="2670" t="s">
        <v>3423</v>
      </c>
      <c r="Q22" s="2670" t="s">
        <v>3424</v>
      </c>
      <c r="R22" s="2670" t="s">
        <v>3425</v>
      </c>
      <c r="S22" s="2670"/>
      <c r="T22" s="2670" t="s">
        <v>3396</v>
      </c>
      <c r="U22" s="2670">
        <f t="shared" ref="U22:U24" si="13">K22</f>
        <v>878.41</v>
      </c>
      <c r="V22" s="2670">
        <v>0.6</v>
      </c>
      <c r="W22" s="2670">
        <f>V22*U22</f>
        <v>527.04599999999994</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t="s">
        <v>3420</v>
      </c>
      <c r="I23" s="2672" t="s">
        <v>3421</v>
      </c>
      <c r="J23" s="3449" t="s">
        <v>3417</v>
      </c>
      <c r="K23" s="2671">
        <f>'数据-基础表'!I15</f>
        <v>5147.59</v>
      </c>
      <c r="L23" s="2671">
        <f>L36</f>
        <v>2400</v>
      </c>
      <c r="M23" s="2670">
        <f t="shared" si="12"/>
        <v>12354216</v>
      </c>
      <c r="N23" s="2670"/>
      <c r="O23" s="2670" t="s">
        <v>3426</v>
      </c>
      <c r="P23" s="2670">
        <f>P24+P25</f>
        <v>2501.7800000000002</v>
      </c>
      <c r="Q23" s="2670">
        <f>R23/P23</f>
        <v>1600</v>
      </c>
      <c r="R23" s="2670">
        <f>R24+R25</f>
        <v>4002848.0000000005</v>
      </c>
      <c r="S23" s="2670"/>
      <c r="T23" s="2670" t="s">
        <v>3397</v>
      </c>
      <c r="U23" s="2670">
        <f t="shared" si="13"/>
        <v>5147.59</v>
      </c>
      <c r="V23" s="2670">
        <v>1.2</v>
      </c>
      <c r="W23" s="2670">
        <f>V23*U23</f>
        <v>6177.1080000000002</v>
      </c>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f>SUM(K21:K23)</f>
        <v>8527.7800000000007</v>
      </c>
      <c r="L24" s="2671">
        <f>ROUND(M24/K24,0)</f>
        <v>2303</v>
      </c>
      <c r="M24" s="2670">
        <f>SUM(M21:M23)</f>
        <v>19638855</v>
      </c>
      <c r="N24" s="2670"/>
      <c r="O24" s="2670" t="s">
        <v>3398</v>
      </c>
      <c r="P24" s="2670">
        <f>K21</f>
        <v>2501.7800000000002</v>
      </c>
      <c r="Q24" s="2670">
        <v>1600</v>
      </c>
      <c r="R24" s="2670">
        <f>Q24*P24</f>
        <v>4002848.0000000005</v>
      </c>
      <c r="S24" s="2670"/>
      <c r="T24" s="3448" t="s">
        <v>3434</v>
      </c>
      <c r="U24" s="2670">
        <f t="shared" si="13"/>
        <v>8527.7800000000007</v>
      </c>
      <c r="V24" s="2670">
        <f>W24/U24</f>
        <v>1.0795229239028212</v>
      </c>
      <c r="W24" s="2670">
        <f>SUM(W21:W23)</f>
        <v>9205.9340000000011</v>
      </c>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t="s">
        <v>3427</v>
      </c>
      <c r="P25" s="2670">
        <v>0</v>
      </c>
      <c r="Q25" s="2670">
        <v>2000</v>
      </c>
      <c r="R25" s="2670">
        <f>Q25*P25</f>
        <v>0</v>
      </c>
      <c r="S25" s="2670"/>
      <c r="T25" s="3448" t="s">
        <v>3435</v>
      </c>
      <c r="U25" s="2670">
        <v>8000</v>
      </c>
      <c r="V25" s="2670">
        <v>0.2</v>
      </c>
      <c r="W25" s="2670">
        <f>V25*U25</f>
        <v>1600</v>
      </c>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t="s">
        <v>3428</v>
      </c>
      <c r="P26" s="2670">
        <f>P24</f>
        <v>2501.7800000000002</v>
      </c>
      <c r="Q26" s="2670">
        <v>350</v>
      </c>
      <c r="R26" s="2670">
        <f>Q26*P26</f>
        <v>875623.00000000012</v>
      </c>
      <c r="S26" s="2670"/>
      <c r="T26" s="2670"/>
      <c r="U26" s="2670"/>
      <c r="V26" s="2670">
        <f>W26/U24</f>
        <v>1.2671450248482021</v>
      </c>
      <c r="W26" s="2670">
        <f>W24+W25</f>
        <v>10805.934000000001</v>
      </c>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t="s">
        <v>3429</v>
      </c>
      <c r="P27" s="2670">
        <f>P24</f>
        <v>2501.7800000000002</v>
      </c>
      <c r="Q27" s="2670">
        <v>400</v>
      </c>
      <c r="R27" s="2670">
        <f>Q27*P27</f>
        <v>1000712.0000000001</v>
      </c>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3455">
        <v>190</v>
      </c>
      <c r="C28" s="2679"/>
      <c r="D28" s="2678"/>
      <c r="E28" s="2660"/>
      <c r="F28" s="2660"/>
      <c r="G28" s="2672"/>
      <c r="H28" s="2672"/>
      <c r="I28" s="2672"/>
      <c r="J28" s="2670" t="s">
        <v>3433</v>
      </c>
      <c r="K28" s="2670"/>
      <c r="L28" s="2670"/>
      <c r="M28" s="2670"/>
      <c r="N28" s="2670"/>
      <c r="O28" s="2670" t="s">
        <v>3430</v>
      </c>
      <c r="P28" s="2670">
        <v>0</v>
      </c>
      <c r="Q28" s="2670"/>
      <c r="R28" s="2670">
        <v>0</v>
      </c>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162</v>
      </c>
      <c r="C29" s="2801" t="s">
        <v>2294</v>
      </c>
      <c r="D29" s="2678"/>
      <c r="E29" s="2660"/>
      <c r="F29" s="2660"/>
      <c r="G29" s="2672"/>
      <c r="H29" s="2672"/>
      <c r="I29" s="2672"/>
      <c r="J29" s="2670"/>
      <c r="K29" s="2670" t="s">
        <v>3423</v>
      </c>
      <c r="L29" s="2670" t="s">
        <v>3424</v>
      </c>
      <c r="M29" s="2670" t="s">
        <v>3425</v>
      </c>
      <c r="N29" s="2670"/>
      <c r="O29" s="2670" t="s">
        <v>3422</v>
      </c>
      <c r="P29" s="2670">
        <f>P23</f>
        <v>2501.7800000000002</v>
      </c>
      <c r="Q29" s="2670">
        <f>R29/P29</f>
        <v>2350</v>
      </c>
      <c r="R29" s="2670">
        <f>R23+R26+R27</f>
        <v>5879183.0000000009</v>
      </c>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0" t="s">
        <v>3426</v>
      </c>
      <c r="K30" s="2670">
        <f>K31+K32</f>
        <v>5147.59</v>
      </c>
      <c r="L30" s="2670">
        <f>M30/K30</f>
        <v>1600</v>
      </c>
      <c r="M30" s="2670">
        <f>M31+M32</f>
        <v>8236144</v>
      </c>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0" t="s">
        <v>3398</v>
      </c>
      <c r="K31" s="2670">
        <f>K23</f>
        <v>5147.59</v>
      </c>
      <c r="L31" s="2670">
        <v>1600</v>
      </c>
      <c r="M31" s="2670">
        <f>L31*K31</f>
        <v>8236144</v>
      </c>
      <c r="N31" s="2670"/>
      <c r="O31" s="2670" t="s">
        <v>3432</v>
      </c>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0" t="s">
        <v>3427</v>
      </c>
      <c r="K32" s="2670">
        <v>0</v>
      </c>
      <c r="L32" s="2670">
        <v>2000</v>
      </c>
      <c r="M32" s="2670">
        <f>L32*K32</f>
        <v>0</v>
      </c>
      <c r="N32" s="2670"/>
      <c r="O32" s="2670"/>
      <c r="P32" s="2670" t="s">
        <v>3423</v>
      </c>
      <c r="Q32" s="2670" t="s">
        <v>3424</v>
      </c>
      <c r="R32" s="2670" t="s">
        <v>3425</v>
      </c>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0" t="s">
        <v>3428</v>
      </c>
      <c r="K33" s="2670">
        <f>K31</f>
        <v>5147.59</v>
      </c>
      <c r="L33" s="2670">
        <v>400</v>
      </c>
      <c r="M33" s="2670">
        <f>L33*K33</f>
        <v>2059036</v>
      </c>
      <c r="N33" s="2670"/>
      <c r="O33" s="2670" t="s">
        <v>3426</v>
      </c>
      <c r="P33" s="2670">
        <f>P34+P35</f>
        <v>878.41</v>
      </c>
      <c r="Q33" s="2670">
        <f>R33/P33</f>
        <v>1200</v>
      </c>
      <c r="R33" s="2670">
        <f>R34+R35</f>
        <v>1054092</v>
      </c>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0" t="s">
        <v>3429</v>
      </c>
      <c r="K34" s="2670">
        <f>K31</f>
        <v>5147.59</v>
      </c>
      <c r="L34" s="2670">
        <v>400</v>
      </c>
      <c r="M34" s="2670">
        <f>L34*K34</f>
        <v>2059036</v>
      </c>
      <c r="N34" s="2670"/>
      <c r="O34" s="2670" t="s">
        <v>3398</v>
      </c>
      <c r="P34" s="2670">
        <f>K22</f>
        <v>878.41</v>
      </c>
      <c r="Q34" s="2670">
        <v>1200</v>
      </c>
      <c r="R34" s="2670">
        <f>Q34*P34</f>
        <v>1054092</v>
      </c>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0" t="s">
        <v>3430</v>
      </c>
      <c r="K35" s="2670">
        <v>0</v>
      </c>
      <c r="L35" s="2670"/>
      <c r="M35" s="2670">
        <v>0</v>
      </c>
      <c r="N35" s="2670"/>
      <c r="O35" s="2670" t="s">
        <v>3427</v>
      </c>
      <c r="P35" s="2670">
        <v>0</v>
      </c>
      <c r="Q35" s="2670">
        <v>2000</v>
      </c>
      <c r="R35" s="2670">
        <f>Q35*P35</f>
        <v>0</v>
      </c>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5"/>
      <c r="E36" s="2672"/>
      <c r="F36" s="2672"/>
      <c r="G36" s="2672"/>
      <c r="H36" s="2672"/>
      <c r="I36" s="2672"/>
      <c r="J36" s="2670" t="s">
        <v>3422</v>
      </c>
      <c r="K36" s="2670">
        <f>K30</f>
        <v>5147.59</v>
      </c>
      <c r="L36" s="2670">
        <f>M36/K36</f>
        <v>2400</v>
      </c>
      <c r="M36" s="2670">
        <f>M30+M33+M34</f>
        <v>12354216</v>
      </c>
      <c r="N36" s="2670"/>
      <c r="O36" s="2670" t="s">
        <v>3428</v>
      </c>
      <c r="P36" s="2670">
        <f>P34</f>
        <v>878.41</v>
      </c>
      <c r="Q36" s="2670">
        <v>200</v>
      </c>
      <c r="R36" s="2670">
        <f>Q36*P36</f>
        <v>175682</v>
      </c>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t="s">
        <v>3429</v>
      </c>
      <c r="P37" s="2670">
        <f>P34</f>
        <v>878.41</v>
      </c>
      <c r="Q37" s="2670">
        <v>200</v>
      </c>
      <c r="R37" s="2670">
        <f>Q37*P37</f>
        <v>175682</v>
      </c>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t="s">
        <v>3430</v>
      </c>
      <c r="P38" s="2670">
        <v>0</v>
      </c>
      <c r="Q38" s="2670"/>
      <c r="R38" s="2670">
        <v>0</v>
      </c>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t="s">
        <v>3422</v>
      </c>
      <c r="P39" s="2670">
        <f>P33</f>
        <v>878.41</v>
      </c>
      <c r="Q39" s="2670">
        <f>R39/P39</f>
        <v>1600</v>
      </c>
      <c r="R39" s="2670">
        <f>R33+R36+R37</f>
        <v>1405456</v>
      </c>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5" t="s">
        <v>2286</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8527.7800000000007</v>
      </c>
      <c r="C1" s="2685"/>
      <c r="D1" s="2685"/>
      <c r="E1" s="2685"/>
      <c r="F1" s="2685"/>
      <c r="G1" s="2686"/>
      <c r="H1" s="2687"/>
      <c r="I1" s="2687"/>
      <c r="J1" s="2687"/>
      <c r="K1" s="2687"/>
    </row>
    <row r="2" spans="1:11" ht="16.5">
      <c r="A2" s="2511" t="s">
        <v>653</v>
      </c>
      <c r="B2" s="2511">
        <f>SUM(C14:C23)</f>
        <v>25252.5</v>
      </c>
      <c r="C2" s="2685"/>
      <c r="D2" s="2685"/>
      <c r="E2" s="2685"/>
      <c r="F2" s="2685"/>
      <c r="G2" s="2686"/>
      <c r="H2" s="2687"/>
      <c r="I2" s="2687"/>
      <c r="J2" s="2687"/>
      <c r="K2" s="2687"/>
    </row>
    <row r="3" spans="1:11" ht="16.5">
      <c r="A3" s="2511" t="s">
        <v>662</v>
      </c>
      <c r="B3" s="2513">
        <f>项目基本情况!D3</f>
        <v>45425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4653</v>
      </c>
      <c r="C5" s="2511">
        <f ca="1">IF(B5=D14,结果表!H102,ROUND(B5*10000/$B$1,0))</f>
        <v>5456</v>
      </c>
      <c r="D5" s="2511">
        <f ca="1">ROUND(B5*10000/$B$2,0)</f>
        <v>1843</v>
      </c>
      <c r="E5" s="2685"/>
      <c r="F5" s="2686"/>
      <c r="G5" s="2686"/>
      <c r="H5" s="2687"/>
      <c r="I5" s="2687"/>
      <c r="J5" s="2687"/>
      <c r="K5" s="2687"/>
    </row>
    <row r="6" spans="1:11" ht="16.5">
      <c r="A6" s="2511" t="s">
        <v>656</v>
      </c>
      <c r="B6" s="2511">
        <f ca="1">SUM(G14:G23)</f>
        <v>4653</v>
      </c>
      <c r="C6" s="2511">
        <f ca="1">IF(B6=G14,结果表!H108,ROUND(B6*10000/$B$1,0))</f>
        <v>5456</v>
      </c>
      <c r="D6" s="2511">
        <f ca="1">ROUND(B6*10000/$B$2,0)</f>
        <v>1843</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4407</v>
      </c>
      <c r="C8" s="2511">
        <f ca="1">IF(B8=I14,结果表!H112,ROUND(B8*10000/$B$1,0))</f>
        <v>5168</v>
      </c>
      <c r="D8" s="2511">
        <f ca="1">ROUND(B8*10000/$B$2,0)</f>
        <v>1745</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8527.7800000000007</v>
      </c>
      <c r="C14" s="2517">
        <f>结果表!C118</f>
        <v>25252.5</v>
      </c>
      <c r="D14" s="2517">
        <f ca="1">结果表!H118</f>
        <v>4653</v>
      </c>
      <c r="E14" s="2517">
        <f ca="1">ROUND(D14*10000/B14,0)</f>
        <v>5456</v>
      </c>
      <c r="F14" s="2517">
        <f ca="1">ROUND(D14*10000/C14,0)</f>
        <v>1843</v>
      </c>
      <c r="G14" s="2517">
        <f ca="1">结果表!D122</f>
        <v>4653</v>
      </c>
      <c r="H14" s="2517"/>
      <c r="I14" s="2517">
        <f ca="1">结果表!D126</f>
        <v>4407</v>
      </c>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5" zoomScaleNormal="100" zoomScaleSheetLayoutView="85" zoomScalePageLayoutView="80" workbookViewId="0">
      <selection activeCell="J123" sqref="J1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3413</v>
      </c>
      <c r="D4" s="1756" t="s">
        <v>3403</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5</v>
      </c>
      <c r="D14" s="3608">
        <v>5</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9" t="s">
        <v>2131</v>
      </c>
      <c r="F18" s="3640"/>
      <c r="G18" s="3640"/>
      <c r="H18" s="3640"/>
      <c r="I18" s="3640"/>
      <c r="K18" s="302" t="s">
        <v>1289</v>
      </c>
      <c r="L18" s="302">
        <f>IF(C1="",'数据-汇总表'!E3,SUMIF(项目类型,C1,'数据-汇总表'!E17:E26)+SUMIF(项目类型,C1,'数据-汇总表'!I17:I26))</f>
        <v>8527.7800000000007</v>
      </c>
      <c r="M18" s="302">
        <f>IF(C1="",'数据-汇总表'!E3,SUMIF(项目类型,C1,'数据-汇总表'!E17:E26))</f>
        <v>8527.7800000000007</v>
      </c>
    </row>
    <row r="19" spans="1:36" ht="15">
      <c r="A19" s="1761" t="s">
        <v>1290</v>
      </c>
      <c r="B19" s="1762" t="s">
        <v>1291</v>
      </c>
      <c r="C19" s="134">
        <f ca="1">SUMIF(INDIRECT("'"&amp;C4&amp;"'"&amp;"!A:A"),结果表!B19,INDIRECT("'"&amp;C4&amp;"'"&amp;"!B:B"))</f>
        <v>4789</v>
      </c>
      <c r="D19" s="135">
        <f ca="1">SUMIF(INDIRECT("'"&amp;D4&amp;"'"&amp;"!A:A"),结果表!B19,INDIRECT("'"&amp;D4&amp;"'"&amp;"!B:B"))</f>
        <v>4517</v>
      </c>
      <c r="E19" s="1761" t="s">
        <v>1292</v>
      </c>
      <c r="F19" s="1762" t="s">
        <v>1291</v>
      </c>
      <c r="G19" s="136">
        <f ca="1">ROUND(C19*$C$18+D19*$D$18,0)</f>
        <v>4653</v>
      </c>
      <c r="H19" s="1763" t="s">
        <v>1293</v>
      </c>
      <c r="I19" s="129"/>
      <c r="K19" s="302" t="s">
        <v>1294</v>
      </c>
      <c r="L19" s="302">
        <f>IF(C1="",'数据-汇总表'!D3,SUMIF(项目类型,C1,'数据-汇总表'!D17:D26)+SUMIF(项目类型,C1,'数据-汇总表'!H17:H27))</f>
        <v>25252.5</v>
      </c>
      <c r="M19" s="302">
        <f>IF(C1="",'数据-汇总表'!D3,SUMIF(项目类型,C1,'数据-汇总表'!D17:D26))</f>
        <v>25252.5</v>
      </c>
    </row>
    <row r="20" spans="1:36" ht="15">
      <c r="A20" s="1764"/>
      <c r="B20" s="1026" t="s">
        <v>1295</v>
      </c>
      <c r="C20" s="137">
        <f ca="1">SUMIF(INDIRECT("'"&amp;C4&amp;"'"&amp;"!A:A"),结果表!B20,INDIRECT("'"&amp;C4&amp;"'"&amp;"!B:B"))</f>
        <v>5616</v>
      </c>
      <c r="D20" s="138">
        <f ca="1">SUMIF(INDIRECT("'"&amp;D4&amp;"'"&amp;"!A:A"),结果表!B20,INDIRECT("'"&amp;D4&amp;"'"&amp;"!B:B"))</f>
        <v>5297</v>
      </c>
      <c r="E20" s="1764"/>
      <c r="F20" s="1026" t="s">
        <v>1295</v>
      </c>
      <c r="G20" s="139">
        <f ca="1">ROUND(C20*$C$18+D20*$D$18,0)</f>
        <v>5457</v>
      </c>
      <c r="H20" s="808" t="s">
        <v>1296</v>
      </c>
      <c r="I20" s="129"/>
    </row>
    <row r="21" spans="1:36" ht="15" customHeight="1" thickBot="1">
      <c r="A21" s="828"/>
      <c r="B21" s="1765" t="s">
        <v>1297</v>
      </c>
      <c r="C21" s="719">
        <f ca="1">ROUND(C19*10000/L19,0)</f>
        <v>1896</v>
      </c>
      <c r="D21" s="720">
        <f ca="1">ROUND(D19*10000/L19,0)</f>
        <v>1789</v>
      </c>
      <c r="E21" s="828"/>
      <c r="F21" s="1765" t="s">
        <v>1297</v>
      </c>
      <c r="G21" s="140">
        <f ca="1">ROUND(G19*10000/L19,0)</f>
        <v>1843</v>
      </c>
      <c r="H21" s="1766" t="s">
        <v>1296</v>
      </c>
      <c r="I21" s="129"/>
    </row>
    <row r="22" spans="1:36" ht="15" thickBot="1">
      <c r="A22" s="1688" t="s">
        <v>1298</v>
      </c>
      <c r="B22" s="1767"/>
      <c r="C22" s="1768"/>
      <c r="D22" s="721">
        <f ca="1">IF(C19&lt;D19,D19/C19-1,C19/D19-1)</f>
        <v>6.02169581580696E-2</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3453" t="s">
        <v>3451</v>
      </c>
      <c r="I26" s="129">
        <v>3950</v>
      </c>
      <c r="J26" s="725">
        <v>2016</v>
      </c>
    </row>
    <row r="27" spans="1:36" ht="14.25">
      <c r="A27" s="1771"/>
      <c r="B27" s="142">
        <v>0</v>
      </c>
      <c r="C27" s="142">
        <v>0</v>
      </c>
      <c r="D27" s="143">
        <f>ROUND(C27*B27/10000,0)</f>
        <v>0</v>
      </c>
      <c r="E27" s="129"/>
      <c r="F27" s="129"/>
      <c r="G27" s="129"/>
      <c r="H27" s="3453" t="s">
        <v>3450</v>
      </c>
      <c r="I27" s="129">
        <v>2767.2</v>
      </c>
      <c r="J27" s="3454" t="s">
        <v>3442</v>
      </c>
    </row>
    <row r="28" spans="1:36" ht="14.25">
      <c r="A28" s="1771"/>
      <c r="B28" s="142"/>
      <c r="C28" s="142"/>
      <c r="D28" s="143"/>
      <c r="E28" s="129"/>
      <c r="F28" s="129"/>
      <c r="G28" s="129"/>
      <c r="H28" s="129"/>
      <c r="I28" s="129">
        <v>1558</v>
      </c>
      <c r="J28" s="3454" t="s">
        <v>3443</v>
      </c>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4653</v>
      </c>
      <c r="D32" s="1775" t="s">
        <v>3436</v>
      </c>
      <c r="E32" s="129"/>
      <c r="F32" s="129"/>
      <c r="G32" s="129"/>
      <c r="H32" s="129"/>
      <c r="I32" s="129"/>
    </row>
    <row r="33" spans="1:15" ht="15">
      <c r="A33" s="786" t="s">
        <v>1306</v>
      </c>
      <c r="B33" s="1776"/>
      <c r="C33" s="1777" t="s">
        <v>3437</v>
      </c>
      <c r="D33" s="1778" t="s">
        <v>3413</v>
      </c>
      <c r="E33" s="1779" t="s">
        <v>1307</v>
      </c>
      <c r="F33" s="1780" t="str">
        <f>IF(D32="楼面单价","取值（单价）","取值（总价）")</f>
        <v>取值（总价）</v>
      </c>
      <c r="G33" s="129"/>
      <c r="H33" s="129"/>
      <c r="I33" s="129"/>
    </row>
    <row r="34" spans="1:15" ht="15">
      <c r="A34" s="1781"/>
      <c r="B34" s="1782" t="s">
        <v>1308</v>
      </c>
      <c r="C34" s="148">
        <f ca="1">IF(C33="自定义",F34,C32-C35)</f>
        <v>2848</v>
      </c>
      <c r="D34" s="861">
        <f ca="1">IF(C33="自定义",ROUND(C34/C32,3),IF(C33="收益比率",SUMIF(INDIRECT("'"&amp;D33&amp;"'"&amp;"!b:b"),"土地收益比率",INDIRECT("'"&amp;D33&amp;"'"&amp;"!c:c")),SUMIF(INDIRECT("'"&amp;D33&amp;"'"&amp;"!b:b"),"土地成本比率",INDIRECT("'"&amp;D33&amp;"'"&amp;"!c:c"))))</f>
        <v>0.61199999999999999</v>
      </c>
      <c r="E34" s="1783" t="s">
        <v>1309</v>
      </c>
      <c r="F34" s="1330"/>
      <c r="G34" s="129"/>
      <c r="H34" s="129"/>
      <c r="I34" s="129"/>
    </row>
    <row r="35" spans="1:15" ht="15.75" thickBot="1">
      <c r="A35" s="1784"/>
      <c r="B35" s="1785" t="s">
        <v>1310</v>
      </c>
      <c r="C35" s="1170">
        <f ca="1">IF(C33="自定义",F35,ROUND(C32*D35,0))</f>
        <v>1805</v>
      </c>
      <c r="D35" s="1171">
        <f ca="1">IF(C33="自定义",ROUND(C35/C32,3),IF(C33="收益比率",SUMIF(INDIRECT("'"&amp;D33&amp;"'"&amp;"!b:b"),"建筑物收益比率",INDIRECT("'"&amp;D33&amp;"'"&amp;"!c:c")),SUMIF(INDIRECT("'"&amp;D33&amp;"'"&amp;"!b:b"),"建筑物成本比率",INDIRECT("'"&amp;D33&amp;"'"&amp;"!c:c"))))</f>
        <v>0.38800000000000001</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4653</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2">
        <v>1</v>
      </c>
      <c r="K46" s="3550" t="s">
        <v>1331</v>
      </c>
      <c r="L46" s="3550"/>
      <c r="M46" s="3551"/>
      <c r="N46" s="3551"/>
      <c r="O46" s="3551"/>
    </row>
    <row r="47" spans="1:15" ht="12" customHeight="1">
      <c r="A47" s="160" t="s">
        <v>1332</v>
      </c>
      <c r="B47" s="161"/>
      <c r="C47" s="162"/>
      <c r="D47" s="1087" t="s">
        <v>1333</v>
      </c>
      <c r="E47" s="302" t="s">
        <v>1334</v>
      </c>
      <c r="F47" s="163" t="s">
        <v>1335</v>
      </c>
      <c r="G47" s="2545" t="s">
        <v>1336</v>
      </c>
      <c r="H47" s="2546"/>
      <c r="I47" s="159"/>
      <c r="J47" s="2522">
        <v>2</v>
      </c>
      <c r="K47" s="3550" t="s">
        <v>1337</v>
      </c>
      <c r="L47" s="3550"/>
      <c r="M47" s="3552">
        <f>'数据-取费表'!B2</f>
        <v>45425</v>
      </c>
      <c r="N47" s="3552"/>
      <c r="O47" s="3552"/>
    </row>
    <row r="48" spans="1:15" ht="25.5">
      <c r="A48" s="3612" t="s">
        <v>1338</v>
      </c>
      <c r="B48" s="3613"/>
      <c r="C48" s="3613"/>
      <c r="D48" s="2323">
        <f ca="1">IF(H48="情况1",0,IF(H48="情况2",D52,IF(H48="情况3",D53,IF(H48="情况4",D54))))</f>
        <v>244</v>
      </c>
      <c r="E48" s="2333" t="str">
        <f>IF(H48="情况4","(销售额-原购置价)×税（费）率","销售额×税（费）率")</f>
        <v>销售额×税（费）率</v>
      </c>
      <c r="F48" s="2547">
        <f>IF(H48="情况1","免征",'数据-取费表'!B41)</f>
        <v>5.5000000000000007E-2</v>
      </c>
      <c r="G48" s="2548" t="s">
        <v>1339</v>
      </c>
      <c r="H48" s="2549" t="s">
        <v>3446</v>
      </c>
      <c r="I48" s="1806"/>
      <c r="J48" s="2522">
        <v>3</v>
      </c>
      <c r="K48" s="3550" t="s">
        <v>1340</v>
      </c>
      <c r="L48" s="3550"/>
      <c r="M48" s="3553">
        <f ca="1">H101</f>
        <v>4653</v>
      </c>
      <c r="N48" s="3553"/>
      <c r="O48" s="3553"/>
    </row>
    <row r="49" spans="1:35" ht="25.5" customHeight="1">
      <c r="A49" s="2332" t="s">
        <v>1341</v>
      </c>
      <c r="B49" s="3598" t="s">
        <v>1342</v>
      </c>
      <c r="C49" s="3598"/>
      <c r="D49" s="1590">
        <v>0</v>
      </c>
      <c r="E49" s="324" t="s">
        <v>1343</v>
      </c>
      <c r="F49" s="2423" t="s">
        <v>28</v>
      </c>
      <c r="G49" s="3581"/>
      <c r="H49" s="2309" t="s">
        <v>2134</v>
      </c>
      <c r="I49" s="2310"/>
      <c r="J49" s="2522">
        <v>4</v>
      </c>
      <c r="K49" s="3550" t="str">
        <f>IF(项目基本情况!E8="房地产抵押价值","房地产抵押价值","抵押担保权已注销时的房地产抵押价值")</f>
        <v>房地产抵押价值</v>
      </c>
      <c r="L49" s="3550"/>
      <c r="M49" s="3553">
        <f ca="1">IF(项目基本情况!E8="房地产抵押价值",H107,H109)</f>
        <v>4653</v>
      </c>
      <c r="N49" s="3553"/>
      <c r="O49" s="3553"/>
    </row>
    <row r="50" spans="1:35" ht="25.5" customHeight="1">
      <c r="A50" s="2550"/>
      <c r="B50" s="3598" t="s">
        <v>1344</v>
      </c>
      <c r="C50" s="3598"/>
      <c r="D50" s="2551"/>
      <c r="E50" s="332"/>
      <c r="F50" s="2423"/>
      <c r="G50" s="3582"/>
      <c r="H50" s="2311" t="s">
        <v>2135</v>
      </c>
      <c r="I50" s="2310"/>
      <c r="J50" s="3549" t="s">
        <v>1345</v>
      </c>
      <c r="K50" s="3549"/>
      <c r="L50" s="3549"/>
      <c r="M50" s="3549"/>
      <c r="N50" s="3549"/>
      <c r="O50" s="3549"/>
    </row>
    <row r="51" spans="1:35" ht="20.45" customHeight="1">
      <c r="A51" s="2552"/>
      <c r="B51" s="3598" t="s">
        <v>1346</v>
      </c>
      <c r="C51" s="3598"/>
      <c r="D51" s="1087"/>
      <c r="E51" s="327"/>
      <c r="F51" s="2423"/>
      <c r="G51" s="3583"/>
      <c r="H51" s="2311" t="s">
        <v>2136</v>
      </c>
      <c r="I51" s="2310"/>
      <c r="J51" s="2523" t="s">
        <v>1347</v>
      </c>
      <c r="K51" s="3550" t="s">
        <v>1348</v>
      </c>
      <c r="L51" s="3550"/>
      <c r="M51" s="2523" t="s">
        <v>1349</v>
      </c>
      <c r="N51" s="2523" t="s">
        <v>1350</v>
      </c>
      <c r="O51" s="2523" t="s">
        <v>1351</v>
      </c>
    </row>
    <row r="52" spans="1:35" ht="24" customHeight="1">
      <c r="A52" s="2334" t="s">
        <v>1352</v>
      </c>
      <c r="B52" s="3598" t="s">
        <v>1353</v>
      </c>
      <c r="C52" s="3598"/>
      <c r="D52" s="1087">
        <f ca="1">ROUND(D45*'数据-取费表'!B41/(1+'数据-取费表'!C42),0)</f>
        <v>244</v>
      </c>
      <c r="E52" s="2333" t="s">
        <v>1354</v>
      </c>
      <c r="F52" s="2553">
        <f>'数据-取费表'!B41</f>
        <v>5.5000000000000007E-2</v>
      </c>
      <c r="G52" s="2554"/>
      <c r="H52" s="2543"/>
      <c r="I52" s="1807"/>
      <c r="J52" s="2522">
        <v>1</v>
      </c>
      <c r="K52" s="3575" t="s">
        <v>1355</v>
      </c>
      <c r="L52" s="3575"/>
      <c r="M52" s="2524">
        <f ca="1">D48</f>
        <v>244</v>
      </c>
      <c r="N52" s="2522" t="str">
        <f>E48</f>
        <v>销售额×税（费）率</v>
      </c>
      <c r="O52" s="2525">
        <f>F48</f>
        <v>5.5000000000000007E-2</v>
      </c>
    </row>
    <row r="53" spans="1:35" ht="12" customHeight="1">
      <c r="A53" s="2334" t="s">
        <v>1356</v>
      </c>
      <c r="B53" s="3599" t="s">
        <v>2291</v>
      </c>
      <c r="C53" s="3600"/>
      <c r="D53" s="1087">
        <f ca="1">ROUND(D45*'数据-取费表'!B41/(1+'数据-取费表'!C42),0)</f>
        <v>244</v>
      </c>
      <c r="E53" s="2333" t="s">
        <v>1354</v>
      </c>
      <c r="F53" s="2553">
        <f>'数据-取费表'!B41</f>
        <v>5.5000000000000007E-2</v>
      </c>
      <c r="G53" s="2554"/>
      <c r="H53" s="2543"/>
      <c r="I53" s="1807"/>
      <c r="J53" s="2522">
        <v>2</v>
      </c>
      <c r="K53" s="3575" t="s">
        <v>1357</v>
      </c>
      <c r="L53" s="3575"/>
      <c r="M53" s="2524">
        <f t="shared" ref="M53:O54" ca="1" si="0">D55</f>
        <v>2</v>
      </c>
      <c r="N53" s="2522" t="str">
        <f t="shared" si="0"/>
        <v>销售额×税（费）率</v>
      </c>
      <c r="O53" s="2525">
        <f t="shared" si="0"/>
        <v>5.0000000000000001E-4</v>
      </c>
    </row>
    <row r="54" spans="1:35" ht="12" customHeight="1">
      <c r="A54" s="2334" t="s">
        <v>1358</v>
      </c>
      <c r="B54" s="3599" t="s">
        <v>2292</v>
      </c>
      <c r="C54" s="3600"/>
      <c r="D54" s="1087">
        <f ca="1">C68</f>
        <v>244</v>
      </c>
      <c r="E54" s="327" t="s">
        <v>1359</v>
      </c>
      <c r="F54" s="2553">
        <f>'数据-取费表'!B41</f>
        <v>5.5000000000000007E-2</v>
      </c>
      <c r="G54" s="2554"/>
      <c r="H54" s="2555"/>
      <c r="I54" s="1807"/>
      <c r="J54" s="2522">
        <v>3</v>
      </c>
      <c r="K54" s="3575" t="s">
        <v>1360</v>
      </c>
      <c r="L54" s="3575"/>
      <c r="M54" s="2524">
        <f t="shared" ca="1" si="0"/>
        <v>0</v>
      </c>
      <c r="N54" s="2522" t="str">
        <f t="shared" si="0"/>
        <v>增值额×税（费）率</v>
      </c>
      <c r="O54" s="2526" t="str">
        <f t="shared" si="0"/>
        <v>——</v>
      </c>
    </row>
    <row r="55" spans="1:35" ht="24" customHeight="1">
      <c r="A55" s="3635" t="s">
        <v>1361</v>
      </c>
      <c r="B55" s="3613"/>
      <c r="C55" s="3613"/>
      <c r="D55" s="2323">
        <f ca="1">IF(H55="个人住宅",0,ROUND(D45*I55,0))</f>
        <v>2</v>
      </c>
      <c r="E55" s="2333" t="s">
        <v>1362</v>
      </c>
      <c r="F55" s="2553">
        <f>IF(H55="正常",I55,"免征")</f>
        <v>5.0000000000000001E-4</v>
      </c>
      <c r="G55" s="2554"/>
      <c r="H55" s="2549" t="s">
        <v>3440</v>
      </c>
      <c r="I55" s="165">
        <f>'数据-取费表'!B49</f>
        <v>5.0000000000000001E-4</v>
      </c>
      <c r="J55" s="2522" t="str">
        <f>IF(H59="非个人房产","",4)</f>
        <v/>
      </c>
      <c r="K55" s="3575" t="str">
        <f>IF(H59="非个人房产","——","个人所得税")</f>
        <v>——</v>
      </c>
      <c r="L55" s="3575"/>
      <c r="M55" s="2527" t="str">
        <f>D59</f>
        <v>——</v>
      </c>
      <c r="N55" s="2040" t="str">
        <f>E59</f>
        <v>——</v>
      </c>
      <c r="O55" s="2528" t="str">
        <f>F59</f>
        <v>——</v>
      </c>
    </row>
    <row r="56" spans="1:35" ht="24.75">
      <c r="A56" s="3635" t="s">
        <v>1363</v>
      </c>
      <c r="B56" s="3613"/>
      <c r="C56" s="3613"/>
      <c r="D56" s="2323">
        <f ca="1">IF(H56="个人住宅",D57,D58)</f>
        <v>0</v>
      </c>
      <c r="E56" s="2333" t="s">
        <v>1364</v>
      </c>
      <c r="F56" s="2553" t="str">
        <f>IF(H56="正常",F58,"免征")</f>
        <v>——</v>
      </c>
      <c r="G56" s="2556" t="s">
        <v>1365</v>
      </c>
      <c r="H56" s="2557" t="s">
        <v>3440</v>
      </c>
      <c r="I56" s="1808"/>
      <c r="J56" s="2522" t="str">
        <f>IF(项目基本情况!K6="上海银行",IF(J55="",4,J55+1),"")</f>
        <v/>
      </c>
      <c r="K56" s="3556" t="str">
        <f>IF(项目基本情况!K6="上海银行","其他处置费用","")</f>
        <v/>
      </c>
      <c r="L56" s="3557"/>
      <c r="M56" s="2524" t="str">
        <f>IF(项目基本情况!K6="上海银行",M69,"")</f>
        <v/>
      </c>
      <c r="N56" s="3556" t="str">
        <f>IF(项目基本情况!K6="上海银行","包含处置中涉及的律师、诉讼、拍卖、评估等费用","")</f>
        <v/>
      </c>
      <c r="O56" s="3559"/>
    </row>
    <row r="57" spans="1:35" ht="12.75">
      <c r="A57" s="2334" t="s">
        <v>1341</v>
      </c>
      <c r="B57" s="3599" t="s">
        <v>1366</v>
      </c>
      <c r="C57" s="3600"/>
      <c r="D57" s="1590">
        <v>0</v>
      </c>
      <c r="E57" s="324" t="s">
        <v>1343</v>
      </c>
      <c r="F57" s="302"/>
      <c r="G57" s="2554"/>
      <c r="H57" s="2558"/>
      <c r="I57" s="1808"/>
      <c r="J57" s="3575">
        <f>IF(AND(J55="",J56=""),4,IF(项目基本情况!K6="上海银行",结果表!J56+1,结果表!J55+1))</f>
        <v>4</v>
      </c>
      <c r="K57" s="3575" t="s">
        <v>1367</v>
      </c>
      <c r="L57" s="2529" t="s">
        <v>1368</v>
      </c>
      <c r="M57" s="2530"/>
      <c r="N57" s="2531">
        <f ca="1">SUMIF(M52:M56,"&lt;9e307")</f>
        <v>246</v>
      </c>
      <c r="O57" s="2532"/>
      <c r="P57" s="2689">
        <f ca="1">N57/M49</f>
        <v>5.2869116698903935E-2</v>
      </c>
    </row>
    <row r="58" spans="1:35" ht="24.75">
      <c r="A58" s="2334" t="s">
        <v>1352</v>
      </c>
      <c r="B58" s="3599" t="s">
        <v>1369</v>
      </c>
      <c r="C58" s="3598"/>
      <c r="D58" s="2323">
        <f ca="1">IF(H58="转让取得",C81,C97)</f>
        <v>0</v>
      </c>
      <c r="E58" s="2333" t="s">
        <v>1364</v>
      </c>
      <c r="F58" s="302" t="s">
        <v>28</v>
      </c>
      <c r="G58" s="2554"/>
      <c r="H58" s="2557" t="s">
        <v>3447</v>
      </c>
      <c r="I58" s="1808"/>
      <c r="J58" s="3575"/>
      <c r="K58" s="3575"/>
      <c r="L58" s="2529" t="s">
        <v>1370</v>
      </c>
      <c r="M58" s="2533"/>
      <c r="N58" s="2534" t="str">
        <f ca="1">NUMBERSTRING(INT(N57*10000),2)&amp;"元整"</f>
        <v>贰佰肆拾陆万元整</v>
      </c>
      <c r="O58" s="2535"/>
    </row>
    <row r="59" spans="1:35" ht="24.75" thickBot="1">
      <c r="A59" s="3579" t="s">
        <v>1371</v>
      </c>
      <c r="B59" s="3580"/>
      <c r="C59" s="3580"/>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3441</v>
      </c>
      <c r="I59" s="2312" t="s">
        <v>2137</v>
      </c>
      <c r="J59" s="3577">
        <f>J57+1</f>
        <v>5</v>
      </c>
      <c r="K59" s="3575" t="s">
        <v>1372</v>
      </c>
      <c r="L59" s="2522" t="s">
        <v>1368</v>
      </c>
      <c r="M59" s="2536"/>
      <c r="N59" s="2537">
        <f ca="1">M49-N57</f>
        <v>4407</v>
      </c>
      <c r="O59" s="2538"/>
    </row>
    <row r="60" spans="1:35" ht="12" customHeight="1">
      <c r="A60" s="1809"/>
      <c r="B60" s="1747"/>
      <c r="C60" s="1747"/>
      <c r="D60" s="1747"/>
      <c r="E60" s="1578"/>
      <c r="F60" s="1808"/>
      <c r="G60" s="1808"/>
      <c r="H60" s="1810"/>
      <c r="I60" s="129"/>
      <c r="J60" s="3578"/>
      <c r="K60" s="3575"/>
      <c r="L60" s="2529" t="s">
        <v>1370</v>
      </c>
      <c r="M60" s="2533"/>
      <c r="N60" s="2534" t="str">
        <f ca="1">NUMBERSTRING(INT(N59*10000),2)&amp;"元整"</f>
        <v>肆仟肆佰零柒万元整</v>
      </c>
      <c r="O60" s="2535"/>
    </row>
    <row r="61" spans="1:35" ht="13.5" thickBot="1">
      <c r="A61" s="3634" t="s">
        <v>1373</v>
      </c>
      <c r="B61" s="3634"/>
      <c r="C61" s="3634"/>
      <c r="D61" s="3634"/>
      <c r="E61" s="3634"/>
      <c r="F61" s="1808"/>
      <c r="G61" s="1808"/>
      <c r="H61" s="1810"/>
      <c r="I61" s="129"/>
      <c r="J61" s="2522">
        <f>J59+1</f>
        <v>6</v>
      </c>
      <c r="K61" s="3575" t="s">
        <v>1374</v>
      </c>
      <c r="L61" s="3575"/>
      <c r="M61" s="2539"/>
      <c r="N61" s="2540">
        <f ca="1">ROUND(N59*10000/'数据-汇总表'!E3,0)</f>
        <v>5168</v>
      </c>
      <c r="O61" s="2541"/>
    </row>
    <row r="62" spans="1:35" ht="12.75">
      <c r="A62" s="3594" t="s">
        <v>1375</v>
      </c>
      <c r="B62" s="3595"/>
      <c r="C62" s="2021"/>
      <c r="D62" s="2021" t="s">
        <v>1376</v>
      </c>
      <c r="E62" s="166" t="s">
        <v>1377</v>
      </c>
      <c r="F62" s="1808"/>
      <c r="G62" s="1808"/>
      <c r="H62" s="1810"/>
      <c r="I62" s="129"/>
    </row>
    <row r="63" spans="1:35" ht="12.75">
      <c r="A63" s="173" t="s">
        <v>330</v>
      </c>
      <c r="B63" s="167" t="s">
        <v>1378</v>
      </c>
      <c r="C63" s="2563">
        <f ca="1">ROUND((C64+C65)/(1+'数据-取费表'!C42),0)</f>
        <v>4431</v>
      </c>
      <c r="D63" s="167"/>
      <c r="E63" s="168"/>
      <c r="F63" s="1808"/>
      <c r="G63" s="1808"/>
      <c r="H63" s="1810"/>
      <c r="I63" s="129"/>
      <c r="J63" s="3558" t="s">
        <v>1379</v>
      </c>
      <c r="K63" s="1332" t="s">
        <v>1380</v>
      </c>
      <c r="L63" s="1332">
        <f ca="1">IF(M49&gt;10000,M49*0.5%,IF(AND(M49&gt;1000,M49&lt;=10000),M49*1%,IF(AND(M49&gt;100,M49&lt;=1000),M49*3%,IF(AND(M49&gt;10,M49&lt;=100),M49*5%,M49*8%))))</f>
        <v>46.53</v>
      </c>
      <c r="M63" s="302">
        <f ca="1">ROUND(L63,1)</f>
        <v>46.5</v>
      </c>
      <c r="N63" s="2542"/>
      <c r="Z63" s="1752"/>
      <c r="AI63" s="1753"/>
    </row>
    <row r="64" spans="1:35" ht="14.25" customHeight="1">
      <c r="A64" s="169" t="s">
        <v>325</v>
      </c>
      <c r="B64" s="170" t="s">
        <v>1381</v>
      </c>
      <c r="C64" s="2564">
        <f ca="1">D45</f>
        <v>4653</v>
      </c>
      <c r="D64" s="170" t="s">
        <v>26</v>
      </c>
      <c r="E64" s="172"/>
      <c r="F64" s="1808"/>
      <c r="G64" s="1808"/>
      <c r="H64" s="1810"/>
      <c r="I64" s="129"/>
      <c r="J64" s="3558"/>
      <c r="K64" s="1332" t="s">
        <v>1382</v>
      </c>
      <c r="L64" s="1332">
        <f ca="1">IF(M49&gt;2000,M49*0.5%,IF(AND(M49&gt;1000,M49&lt;=2000),M49*0.6%,IF(AND(M49&gt;500,M49&lt;=1000),M49*0.7%,IF(AND(M49&gt;200,M49&lt;=500),M49*0.8%,IF(AND(M49&gt;100,M49&lt;=200),M49*0.9%,IF(AND(M49&gt;50,M49&lt;=100),M49*1%,IF(AND(M49&gt;20,M49&lt;=50),M49*1.5%,IF(AND(M49&gt;10,M49&lt;=20),M49*2%,IF(AND(M49&gt;1,M49&lt;=10),M49*2.5%)))))))))</f>
        <v>23.265000000000001</v>
      </c>
      <c r="M64" s="302">
        <f t="shared" ref="M64:M65" ca="1" si="1">ROUND(L64,1)</f>
        <v>23.3</v>
      </c>
      <c r="N64" s="2543" t="s">
        <v>1383</v>
      </c>
      <c r="Z64" s="1752"/>
      <c r="AI64" s="1753"/>
    </row>
    <row r="65" spans="1:35" ht="14.25" customHeight="1">
      <c r="A65" s="169" t="s">
        <v>326</v>
      </c>
      <c r="B65" s="170" t="s">
        <v>1384</v>
      </c>
      <c r="C65" s="2565"/>
      <c r="D65" s="170"/>
      <c r="E65" s="172"/>
      <c r="F65" s="1808"/>
      <c r="G65" s="1808"/>
      <c r="H65" s="1810"/>
      <c r="I65" s="129"/>
      <c r="J65" s="3558"/>
      <c r="K65" s="1332" t="s">
        <v>1385</v>
      </c>
      <c r="L65" s="1332">
        <f ca="1">IF(M49&gt;1000,M49*0.1%,IF(AND(M49&gt;500,M49&lt;=1000),M49*0.5%,IF(AND(M49&gt;50,M49&lt;=500),M49*1%,IF(AND(M49&gt;1,M49&lt;=50),M49*1.5%))))</f>
        <v>4.6530000000000005</v>
      </c>
      <c r="M65" s="302">
        <f t="shared" ca="1" si="1"/>
        <v>4.7</v>
      </c>
      <c r="N65" s="2543" t="s">
        <v>1383</v>
      </c>
      <c r="Z65" s="1752"/>
      <c r="AI65" s="1753"/>
    </row>
    <row r="66" spans="1:35" ht="14.25" customHeight="1">
      <c r="A66" s="173" t="s">
        <v>327</v>
      </c>
      <c r="B66" s="174" t="s">
        <v>1386</v>
      </c>
      <c r="C66" s="2566"/>
      <c r="D66" s="174" t="s">
        <v>26</v>
      </c>
      <c r="E66" s="1338" t="s">
        <v>671</v>
      </c>
      <c r="F66" s="1808"/>
      <c r="G66" s="1808"/>
      <c r="H66" s="1810"/>
      <c r="I66" s="129"/>
      <c r="J66" s="3558"/>
      <c r="K66" s="1332" t="s">
        <v>1387</v>
      </c>
      <c r="L66" s="1332">
        <f ca="1">M49*0.5%</f>
        <v>23.265000000000001</v>
      </c>
      <c r="M66" s="302">
        <f ca="1">IF(L66&gt;0.5,0.5,ROUND(L66,0))</f>
        <v>0.5</v>
      </c>
      <c r="N66" s="2543" t="s">
        <v>1388</v>
      </c>
      <c r="Z66" s="1752"/>
      <c r="AI66" s="1753"/>
    </row>
    <row r="67" spans="1:35" ht="14.25" customHeight="1">
      <c r="A67" s="173" t="s">
        <v>328</v>
      </c>
      <c r="B67" s="174" t="s">
        <v>1389</v>
      </c>
      <c r="C67" s="2567">
        <f ca="1">C63-C66</f>
        <v>4431</v>
      </c>
      <c r="D67" s="170" t="s">
        <v>26</v>
      </c>
      <c r="E67" s="172"/>
      <c r="F67" s="1808"/>
      <c r="G67" s="1808"/>
      <c r="H67" s="1810"/>
      <c r="I67" s="129"/>
      <c r="J67" s="355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244</v>
      </c>
      <c r="D68" s="2569">
        <f>'数据-取费表'!B41</f>
        <v>5.5000000000000007E-2</v>
      </c>
      <c r="E68" s="178"/>
      <c r="F68" s="1808"/>
      <c r="G68" s="1808"/>
      <c r="H68" s="1810"/>
      <c r="I68" s="129"/>
      <c r="J68" s="3558"/>
      <c r="K68" s="1332" t="s">
        <v>1392</v>
      </c>
      <c r="L68" s="1332">
        <f ca="1">IF(M49&gt;10000,M49*0.5%,IF(AND(M49&gt;5000,M49&lt;=10000),M49*1%,IF(AND(M49&gt;1000,M49&lt;=5000),M49*2%,IF(AND(M49&gt;200,M49&lt;=1000),M49*3%,M49*5%))))</f>
        <v>93.06</v>
      </c>
      <c r="M68" s="302">
        <f ca="1">ROUND(L68,1)</f>
        <v>93.1</v>
      </c>
      <c r="N68" s="2542"/>
      <c r="Z68" s="1752"/>
      <c r="AI68" s="1753"/>
    </row>
    <row r="69" spans="1:35" s="1772" customFormat="1" ht="16.5" customHeight="1">
      <c r="A69" s="1811"/>
      <c r="B69" s="1812"/>
      <c r="C69" s="1813"/>
      <c r="D69" s="1814"/>
      <c r="E69" s="1815"/>
      <c r="F69" s="1578"/>
      <c r="G69" s="1578"/>
      <c r="H69" s="1577"/>
      <c r="I69" s="1747"/>
      <c r="J69" s="3558"/>
      <c r="K69" s="1332" t="s">
        <v>1393</v>
      </c>
      <c r="L69" s="1332"/>
      <c r="M69" s="302">
        <f ca="1">ROUND(SUM(M63:M68),0)</f>
        <v>171</v>
      </c>
      <c r="N69" s="2544">
        <f ca="1">M69/M49</f>
        <v>3.6750483558994199E-2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4431</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22</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t="s">
        <v>3444</v>
      </c>
      <c r="G75" s="184" t="s">
        <v>1400</v>
      </c>
      <c r="H75" s="2572">
        <v>8</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t="s">
        <v>3445</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22</v>
      </c>
      <c r="D78" s="2576">
        <f>'数据-取费表'!B43</f>
        <v>5.000000000000001E-3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4409</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200.40909090909091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2638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4431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4832.2</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1606</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f>I28</f>
        <v>1558</v>
      </c>
      <c r="D88" s="2576"/>
      <c r="E88" s="193" t="s">
        <v>1413</v>
      </c>
      <c r="F88" s="2326"/>
      <c r="G88" s="194" t="s">
        <v>1414</v>
      </c>
      <c r="H88" s="1824" t="s">
        <v>3448</v>
      </c>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48</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60" t="s">
        <v>2129</v>
      </c>
      <c r="H90" s="356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2767.2</v>
      </c>
      <c r="D91" s="2576"/>
      <c r="E91" s="3591" t="s">
        <v>1419</v>
      </c>
      <c r="F91" s="3592"/>
      <c r="G91" s="3592"/>
      <c r="H91" s="1825" t="s">
        <v>3449</v>
      </c>
      <c r="I91" s="1826">
        <f>I27</f>
        <v>2767.2</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437</v>
      </c>
      <c r="D92" s="2582">
        <v>0.1</v>
      </c>
      <c r="E92" s="3591" t="s">
        <v>1422</v>
      </c>
      <c r="F92" s="3592"/>
      <c r="G92" s="3592"/>
      <c r="H92" s="3593"/>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22</v>
      </c>
      <c r="D93" s="2576">
        <f>'数据-取费表'!B43</f>
        <v>5.000000000000001E-3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v>0</v>
      </c>
      <c r="D94" s="2576">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-401</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4" t="str">
        <f>C4</f>
        <v>成本法</v>
      </c>
      <c r="D101" s="2585" t="str">
        <f>D4</f>
        <v>收益法</v>
      </c>
      <c r="E101" s="3554" t="s">
        <v>1431</v>
      </c>
      <c r="F101" s="3555"/>
      <c r="G101" s="1827" t="s">
        <v>1432</v>
      </c>
      <c r="H101" s="2594">
        <f ca="1">H118</f>
        <v>4653</v>
      </c>
      <c r="I101" s="129"/>
    </row>
    <row r="102" spans="1:35" ht="18.75" customHeight="1">
      <c r="A102" s="3586" t="s">
        <v>1433</v>
      </c>
      <c r="B102" s="2583" t="s">
        <v>1432</v>
      </c>
      <c r="C102" s="2584">
        <f ca="1">IF(D32="楼面单价",ROUND(C19,0),C19)</f>
        <v>4789</v>
      </c>
      <c r="D102" s="2585">
        <f ca="1">IF(D32="楼面单价",ROUND(D19,0),D19)</f>
        <v>4517</v>
      </c>
      <c r="E102" s="3554"/>
      <c r="F102" s="3555"/>
      <c r="G102" s="1827" t="s">
        <v>1434</v>
      </c>
      <c r="H102" s="2554">
        <f ca="1">I118</f>
        <v>5456</v>
      </c>
      <c r="I102" s="129"/>
    </row>
    <row r="103" spans="1:35" ht="42.75" customHeight="1">
      <c r="A103" s="3586"/>
      <c r="B103" s="2583" t="s">
        <v>1434</v>
      </c>
      <c r="C103" s="2586">
        <f ca="1">C20</f>
        <v>5616</v>
      </c>
      <c r="D103" s="2587">
        <f ca="1">D20</f>
        <v>5297</v>
      </c>
      <c r="E103" s="3547" t="s">
        <v>1435</v>
      </c>
      <c r="F103" s="3548"/>
      <c r="G103" s="1828" t="s">
        <v>1436</v>
      </c>
      <c r="H103" s="2594">
        <f>IF(D36="正常操作",H104+H105+H106,H105+H106)</f>
        <v>0</v>
      </c>
      <c r="I103" s="129"/>
    </row>
    <row r="104" spans="1:35" ht="18.75" customHeight="1">
      <c r="A104" s="3586" t="s">
        <v>1437</v>
      </c>
      <c r="B104" s="2588" t="s">
        <v>1432</v>
      </c>
      <c r="C104" s="2589">
        <f ca="1">H118</f>
        <v>4653</v>
      </c>
      <c r="D104" s="2590"/>
      <c r="E104" s="1674" t="s">
        <v>1438</v>
      </c>
      <c r="F104" s="1666"/>
      <c r="G104" s="1828" t="s">
        <v>1436</v>
      </c>
      <c r="H104" s="2595">
        <f>IF(D36="同一抵押权人同一抵押物续贷",C36&amp;"（续贷，未扣减，详见特别提示）",C36)</f>
        <v>0</v>
      </c>
      <c r="I104" s="129"/>
    </row>
    <row r="105" spans="1:35" ht="18.75" customHeight="1" thickBot="1">
      <c r="A105" s="3596"/>
      <c r="B105" s="2591" t="s">
        <v>1434</v>
      </c>
      <c r="C105" s="2592">
        <f ca="1">I118</f>
        <v>5456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7" t="str">
        <f>IF(项目基本情况!E8="已注销","——","3.房地产抵押价值")</f>
        <v>3.房地产抵押价值</v>
      </c>
      <c r="F107" s="3555"/>
      <c r="G107" s="1827" t="s">
        <v>1432</v>
      </c>
      <c r="H107" s="2594">
        <f ca="1">IF(E107="——","——",H101-H103)</f>
        <v>4653</v>
      </c>
      <c r="I107" s="129"/>
    </row>
    <row r="108" spans="1:35" ht="18.75" customHeight="1">
      <c r="A108" s="129"/>
      <c r="B108" s="129"/>
      <c r="C108" s="129"/>
      <c r="D108" s="129"/>
      <c r="E108" s="3587"/>
      <c r="F108" s="3555"/>
      <c r="G108" s="1827" t="s">
        <v>1434</v>
      </c>
      <c r="H108" s="2554">
        <f ca="1">IF(H107=H101,H102,ROUND(H107*10000/'数据-汇总表'!E3,0))</f>
        <v>5456</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7" t="str">
        <f>IF(E109="——","——",H101-H105-H106)</f>
        <v>——</v>
      </c>
      <c r="I109" s="129"/>
    </row>
    <row r="110" spans="1:35" ht="18.75" customHeight="1">
      <c r="A110" s="129"/>
      <c r="B110" s="129"/>
      <c r="C110" s="129"/>
      <c r="D110" s="129"/>
      <c r="E110" s="3587"/>
      <c r="F110" s="3555"/>
      <c r="G110" s="1827" t="s">
        <v>1434</v>
      </c>
      <c r="H110" s="2554"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4.抵押净值</v>
      </c>
      <c r="F111" s="3574"/>
      <c r="G111" s="1827" t="s">
        <v>1432</v>
      </c>
      <c r="H111" s="2594">
        <f ca="1">IF(E111="——","——",N59)</f>
        <v>4407</v>
      </c>
      <c r="I111" s="129"/>
    </row>
    <row r="112" spans="1:35" ht="18.75" customHeight="1" thickBot="1">
      <c r="A112" s="129"/>
      <c r="B112" s="129"/>
      <c r="C112" s="129"/>
      <c r="D112" s="129"/>
      <c r="E112" s="3589"/>
      <c r="F112" s="3590"/>
      <c r="G112" s="1830" t="s">
        <v>1434</v>
      </c>
      <c r="H112" s="2598">
        <f ca="1">IF(E111="——","——",N61)</f>
        <v>5168</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8527.7800000000007</v>
      </c>
      <c r="C118" s="2328">
        <f>M19</f>
        <v>25252.5</v>
      </c>
      <c r="D118" s="2328">
        <f ca="1">ROUND(IF(D32="总价",C34,E118*B118/10000),0)</f>
        <v>2848</v>
      </c>
      <c r="E118" s="2328">
        <f ca="1">ROUND(IF(C33="自定义",IF(D32="楼面单价",C34,D118*10000/B118),I118-G118),0)</f>
        <v>3339</v>
      </c>
      <c r="F118" s="2328">
        <f ca="1">ROUND(IF(D32="总价",C35,G118*B118/10000),0)</f>
        <v>1805</v>
      </c>
      <c r="G118" s="2328">
        <f ca="1">ROUND(IF(D32="楼面单价",C35,F118*10000/B118),0)</f>
        <v>2117</v>
      </c>
      <c r="H118" s="2328">
        <f ca="1">ROUND(IF(D32="总价",C32,I118*B118/10000),0)</f>
        <v>4653</v>
      </c>
      <c r="I118" s="2328">
        <f ca="1">ROUND(IF(D32="楼面单价",C32,H118*10000/B118),0)</f>
        <v>5456</v>
      </c>
    </row>
    <row r="119" spans="1:27" ht="18.75" customHeight="1">
      <c r="A119" s="3562" t="s">
        <v>1452</v>
      </c>
      <c r="B119" s="3562"/>
      <c r="C119" s="3562"/>
      <c r="D119" s="3568" t="str">
        <f ca="1">NUMBERSTRING(INT(D118*10000),2)&amp;"元整"</f>
        <v>贰仟捌佰肆拾捌万元整</v>
      </c>
      <c r="E119" s="3569"/>
      <c r="F119" s="3568" t="str">
        <f ca="1">NUMBERSTRING(INT(F118*10000),2)&amp;"元整"</f>
        <v>壹仟捌佰零伍万元整</v>
      </c>
      <c r="G119" s="3569"/>
      <c r="H119" s="3568" t="str">
        <f ca="1">NUMBERSTRING(INT(H118*10000),2)&amp;"元整"</f>
        <v>肆仟陆佰伍拾叁万元整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4653</v>
      </c>
      <c r="E122" s="3564"/>
      <c r="F122" s="3564"/>
      <c r="G122" s="3564"/>
      <c r="H122" s="3564"/>
      <c r="I122" s="3565"/>
      <c r="AA122" s="725"/>
    </row>
    <row r="123" spans="1:27" ht="18.75" customHeight="1">
      <c r="A123" s="3562" t="s">
        <v>1452</v>
      </c>
      <c r="B123" s="3562"/>
      <c r="C123" s="3562"/>
      <c r="D123" s="3568" t="str">
        <f ca="1">NUMBERSTRING(INT(D122*10000),2)&amp;"元整"</f>
        <v>肆仟陆佰伍拾叁万元整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抵押净值</v>
      </c>
      <c r="B126" s="3574"/>
      <c r="C126" s="3574"/>
      <c r="D126" s="3563">
        <f ca="1">H111</f>
        <v>4407</v>
      </c>
      <c r="E126" s="3564"/>
      <c r="F126" s="3564"/>
      <c r="G126" s="3564"/>
      <c r="H126" s="3564"/>
      <c r="I126" s="3565"/>
      <c r="AA126" s="725"/>
    </row>
    <row r="127" spans="1:27" ht="18.75" customHeight="1">
      <c r="A127" s="3562" t="s">
        <v>1452</v>
      </c>
      <c r="B127" s="3562"/>
      <c r="C127" s="3562"/>
      <c r="D127" s="3568" t="str">
        <f ca="1">NUMBERSTRING(INT(D126*10000),2)&amp;"元整"</f>
        <v>肆仟肆佰零柒万元整</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6"/>
  <sheetViews>
    <sheetView workbookViewId="0">
      <selection activeCell="K12" sqref="K12"/>
    </sheetView>
  </sheetViews>
  <sheetFormatPr defaultRowHeight="13.5"/>
  <cols>
    <col min="13" max="13" width="9.5" bestFit="1" customWidth="1"/>
  </cols>
  <sheetData>
    <row r="1" spans="2:14">
      <c r="E1" s="3456" t="s">
        <v>3455</v>
      </c>
      <c r="G1" s="3456" t="s">
        <v>3459</v>
      </c>
    </row>
    <row r="2" spans="2:14">
      <c r="B2" s="3456"/>
      <c r="C2" s="3456" t="s">
        <v>3463</v>
      </c>
      <c r="D2" s="3456" t="s">
        <v>3458</v>
      </c>
      <c r="E2" s="3456" t="s">
        <v>3456</v>
      </c>
      <c r="F2" s="3456" t="s">
        <v>3457</v>
      </c>
      <c r="G2" s="3456" t="s">
        <v>3456</v>
      </c>
      <c r="H2" s="3456" t="s">
        <v>3457</v>
      </c>
      <c r="I2" s="3456" t="s">
        <v>3461</v>
      </c>
      <c r="J2" s="3456" t="s">
        <v>3457</v>
      </c>
      <c r="K2" s="3456" t="s">
        <v>3462</v>
      </c>
      <c r="L2" s="3456" t="s">
        <v>3460</v>
      </c>
    </row>
    <row r="3" spans="2:14">
      <c r="B3" s="3456" t="s">
        <v>3452</v>
      </c>
      <c r="C3" s="3456">
        <f>'数据-基础表'!E13</f>
        <v>7408.28</v>
      </c>
      <c r="D3" s="3456">
        <f>'数据-基础表'!I13</f>
        <v>2501.7800000000002</v>
      </c>
      <c r="E3">
        <f ca="1">ROUND(F3*D3/10000,0)</f>
        <v>835</v>
      </c>
      <c r="F3">
        <f ca="1">结果表!E118</f>
        <v>3339</v>
      </c>
      <c r="G3">
        <f ca="1">ROUND(结果表!F118*拆分价值!N3,0)</f>
        <v>542</v>
      </c>
      <c r="H3">
        <f ca="1">ROUND(G3*10000/D3,0)</f>
        <v>2166</v>
      </c>
      <c r="I3">
        <f ca="1">E3+G3</f>
        <v>1377</v>
      </c>
      <c r="J3">
        <f ca="1">ROUND(I3*10000/D3,0)</f>
        <v>5504</v>
      </c>
      <c r="K3">
        <f ca="1">ROUND(I3/I6*结果表!D126,0)</f>
        <v>1304</v>
      </c>
      <c r="L3">
        <v>2350</v>
      </c>
      <c r="M3">
        <f>L3*D3</f>
        <v>5879183.0000000009</v>
      </c>
      <c r="N3">
        <f>ROUND(M3/M6,2)</f>
        <v>0.3</v>
      </c>
    </row>
    <row r="4" spans="2:14">
      <c r="B4" s="3456" t="s">
        <v>3453</v>
      </c>
      <c r="C4" s="3456">
        <f>'数据-基础表'!E14</f>
        <v>2601.15</v>
      </c>
      <c r="D4" s="3456">
        <f>'数据-基础表'!I14</f>
        <v>878.41</v>
      </c>
      <c r="E4">
        <f t="shared" ref="E4" ca="1" si="0">ROUND(F4*D4/10000,0)</f>
        <v>293</v>
      </c>
      <c r="F4">
        <f ca="1">结果表!E118</f>
        <v>3339</v>
      </c>
      <c r="G4">
        <f ca="1">ROUND(结果表!F118*拆分价值!N4,0)</f>
        <v>126</v>
      </c>
      <c r="H4">
        <f t="shared" ref="H4:H6" ca="1" si="1">ROUND(G4*10000/D4,0)</f>
        <v>1434</v>
      </c>
      <c r="I4">
        <f t="shared" ref="I4:I5" ca="1" si="2">E4+G4</f>
        <v>419</v>
      </c>
      <c r="J4">
        <f t="shared" ref="J4:J6" ca="1" si="3">ROUND(I4*10000/D4,0)</f>
        <v>4770</v>
      </c>
      <c r="K4">
        <f ca="1">ROUND(I4/I6*结果表!D126,0)</f>
        <v>397</v>
      </c>
      <c r="L4">
        <v>1600</v>
      </c>
      <c r="M4">
        <f t="shared" ref="M4:M5" si="4">L4*D4</f>
        <v>1405456</v>
      </c>
      <c r="N4">
        <f>ROUND(M4/M6,2)</f>
        <v>7.0000000000000007E-2</v>
      </c>
    </row>
    <row r="5" spans="2:14">
      <c r="B5" s="3456" t="s">
        <v>3454</v>
      </c>
      <c r="C5" s="3456">
        <f>'数据-基础表'!E15</f>
        <v>15243.07</v>
      </c>
      <c r="D5" s="3456">
        <f>'数据-基础表'!I15</f>
        <v>5147.59</v>
      </c>
      <c r="E5" s="3457">
        <f ca="1">结果表!D118-拆分价值!E3-拆分价值!E4</f>
        <v>1720</v>
      </c>
      <c r="F5">
        <f ca="1">结果表!E118</f>
        <v>3339</v>
      </c>
      <c r="G5">
        <f ca="1">ROUND(结果表!F118*拆分价值!N5,0)</f>
        <v>1137</v>
      </c>
      <c r="H5">
        <f t="shared" ca="1" si="1"/>
        <v>2209</v>
      </c>
      <c r="I5">
        <f t="shared" ca="1" si="2"/>
        <v>2857</v>
      </c>
      <c r="J5">
        <f t="shared" ca="1" si="3"/>
        <v>5550</v>
      </c>
      <c r="K5">
        <f ca="1">ROUND(I5/I6*结果表!D126,0)</f>
        <v>2706</v>
      </c>
      <c r="L5">
        <v>2400</v>
      </c>
      <c r="M5">
        <f t="shared" si="4"/>
        <v>12354216</v>
      </c>
      <c r="N5">
        <f>ROUND(M5/M6,2)</f>
        <v>0.63</v>
      </c>
    </row>
    <row r="6" spans="2:14">
      <c r="C6">
        <f>SUM(C3:C5)</f>
        <v>25252.5</v>
      </c>
      <c r="D6">
        <f>SUM(D3:D5)</f>
        <v>8527.7800000000007</v>
      </c>
      <c r="E6">
        <f ca="1">SUM(E3:E5)</f>
        <v>2848</v>
      </c>
      <c r="F6">
        <f ca="1">ROUND(E6*10000/D6,0)</f>
        <v>3340</v>
      </c>
      <c r="G6">
        <f ca="1">SUM(G3:G5)</f>
        <v>1805</v>
      </c>
      <c r="H6">
        <f t="shared" ca="1" si="1"/>
        <v>2117</v>
      </c>
      <c r="I6">
        <f ca="1">SUM(I3:I5)</f>
        <v>4653</v>
      </c>
      <c r="J6">
        <f t="shared" ca="1" si="3"/>
        <v>5456</v>
      </c>
      <c r="K6">
        <f ca="1">SUM(K3:K5)</f>
        <v>4407</v>
      </c>
      <c r="M6">
        <f>SUM(M3:M5)</f>
        <v>19638855</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5" zoomScaleNormal="70" zoomScaleSheetLayoutView="85"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4789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2385</v>
      </c>
      <c r="D5" s="211" t="s">
        <v>1469</v>
      </c>
      <c r="E5" s="212" t="s">
        <v>1470</v>
      </c>
      <c r="F5" s="212" t="s">
        <v>1471</v>
      </c>
      <c r="G5" s="213"/>
    </row>
    <row r="6" spans="1:9" s="214" customFormat="1" ht="13.5" customHeight="1">
      <c r="A6" s="778" t="s">
        <v>1472</v>
      </c>
      <c r="B6" s="215" t="s">
        <v>1473</v>
      </c>
      <c r="C6" s="216">
        <f>基准地价修正!B2</f>
        <v>2157</v>
      </c>
      <c r="D6" s="217"/>
      <c r="E6" s="218"/>
      <c r="F6" s="218"/>
      <c r="G6" s="219"/>
    </row>
    <row r="7" spans="1:9" s="214" customFormat="1" ht="13.5" customHeight="1">
      <c r="A7" s="778" t="s">
        <v>1474</v>
      </c>
      <c r="B7" s="215" t="s">
        <v>1475</v>
      </c>
      <c r="C7" s="220">
        <f>ROUND(C6*F7,0)</f>
        <v>66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162</v>
      </c>
      <c r="D8" s="222"/>
      <c r="E8" s="220"/>
      <c r="F8" s="221"/>
      <c r="G8" s="1856" t="s">
        <v>3410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3411</v>
      </c>
      <c r="H9" s="1137"/>
      <c r="I9" s="1858" t="s">
        <v>1479</v>
      </c>
    </row>
    <row r="10" spans="1:9" s="214" customFormat="1" ht="13.5" customHeight="1">
      <c r="A10" s="779" t="s">
        <v>356</v>
      </c>
      <c r="B10" s="224" t="s">
        <v>1480</v>
      </c>
      <c r="C10" s="225">
        <f ca="1">ROUND(D10*E10/10000,0)</f>
        <v>162</v>
      </c>
      <c r="D10" s="845">
        <f ca="1">IF(B1="",'数据-汇总表'!E6,IF(INDIRECT("'数据-取费表'!c"&amp;$G$1)="住宅",INDIRECT("'数据-取费表'!s"&amp;$G$1),INDIRECT("'数据-取费表'!k"&amp;$G$1)+INDIRECT("'数据-取费表'!s"&amp;$G$1)))</f>
        <v>8527.7800000000007</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8527.7800000000007</v>
      </c>
      <c r="E19" s="211">
        <f>'数据-取费表'!B31</f>
        <v>200</v>
      </c>
      <c r="F19" s="231"/>
      <c r="G19" s="1856" t="s">
        <v>3412</v>
      </c>
    </row>
    <row r="20" spans="1:7" s="214" customFormat="1" ht="13.5" customHeight="1">
      <c r="A20" s="255" t="s">
        <v>1493</v>
      </c>
      <c r="B20" s="210" t="s">
        <v>1494</v>
      </c>
      <c r="C20" s="232">
        <f ca="1">ROUND((C5+C19)*F20,0)</f>
        <v>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83</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82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195</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195</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1961</v>
      </c>
      <c r="D34" s="217"/>
      <c r="E34" s="220"/>
      <c r="F34" s="257">
        <f ca="1">IF('数据-取费表'!B24=0,1,IF(B1="",'数据-取费表'!N16,INDIRECT("'数据-取费表'!n"&amp;$G$1)))</f>
        <v>1</v>
      </c>
      <c r="G34" s="219" t="s">
        <v>1526</v>
      </c>
    </row>
    <row r="35" spans="1:7" ht="13.5" customHeight="1">
      <c r="A35" s="780" t="s">
        <v>351</v>
      </c>
      <c r="B35" s="215" t="s">
        <v>1527</v>
      </c>
      <c r="C35" s="220">
        <f ca="1">ROUND(C34*F35,0)</f>
        <v>59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171</v>
      </c>
      <c r="D37" s="217">
        <f ca="1">D19</f>
        <v>8527.7800000000007</v>
      </c>
      <c r="E37" s="249">
        <f>'数据-取费表'!B35</f>
        <v>200</v>
      </c>
      <c r="F37" s="259"/>
      <c r="G37" s="261" t="s">
        <v>1532</v>
      </c>
    </row>
    <row r="38" spans="1:7" ht="13.5" customHeight="1">
      <c r="A38" s="780" t="s">
        <v>354</v>
      </c>
      <c r="B38" s="215" t="s">
        <v>1533</v>
      </c>
      <c r="C38" s="220">
        <f ca="1">ROUND(C34*F38,0)</f>
        <v>39</v>
      </c>
      <c r="D38" s="220"/>
      <c r="E38" s="220"/>
      <c r="F38" s="259">
        <f>'数据-取费表'!B36</f>
        <v>0.02</v>
      </c>
      <c r="G38" s="219" t="s">
        <v>1528</v>
      </c>
    </row>
    <row r="39" spans="1:7" s="214" customFormat="1" ht="13.5" customHeight="1">
      <c r="A39" s="255" t="s">
        <v>1534</v>
      </c>
      <c r="B39" s="210" t="s">
        <v>1535</v>
      </c>
      <c r="C39" s="232">
        <f ca="1">ROUND(C33*F20,0)</f>
        <v>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38</v>
      </c>
      <c r="D42" s="238"/>
      <c r="E42" s="238"/>
      <c r="F42" s="239"/>
      <c r="G42" s="3641" t="s">
        <v>1544</v>
      </c>
    </row>
    <row r="43" spans="1:7" ht="13.5" customHeight="1">
      <c r="A43" s="780" t="s">
        <v>347</v>
      </c>
      <c r="B43" s="215" t="s">
        <v>1545</v>
      </c>
      <c r="C43" s="238">
        <f ca="1">ROUND(IF('数据-取费表'!B22&lt;=1,C39*F22*'数据-取费表'!B21/2,C39*(POWER((1+F22),'数据-取费表'!B21/2)-1)),0)</f>
        <v>1</v>
      </c>
      <c r="D43" s="238"/>
      <c r="E43" s="238"/>
      <c r="F43" s="239"/>
      <c r="G43" s="3642"/>
    </row>
    <row r="44" spans="1:7" ht="13.5" customHeight="1">
      <c r="A44" s="780" t="s">
        <v>348</v>
      </c>
      <c r="B44" s="215" t="s">
        <v>1546</v>
      </c>
      <c r="C44" s="238">
        <f ca="1">ROUND(IF('数据-取费表'!B22&lt;=1,C40*F22*'数据-取费表'!B21/2,C40*(POWER((1+F22),'数据-取费表'!B21/2)-1)),4)</f>
        <v>2.9999999999999997E-4</v>
      </c>
      <c r="D44" s="238"/>
      <c r="E44" s="238"/>
      <c r="F44" s="239"/>
      <c r="G44" s="3643"/>
    </row>
    <row r="45" spans="1:7" s="214" customFormat="1" ht="13.5" customHeight="1">
      <c r="A45" s="255" t="s">
        <v>1547</v>
      </c>
      <c r="B45" s="244" t="s">
        <v>1513</v>
      </c>
      <c r="C45" s="245">
        <f ca="1">C46</f>
        <v>182</v>
      </c>
      <c r="D45" s="235">
        <f ca="1">C47</f>
        <v>1.6000000000000001E-3</v>
      </c>
      <c r="E45" s="236" t="s">
        <v>1539</v>
      </c>
      <c r="F45" s="246">
        <f ca="1">F27</f>
        <v>0.08</v>
      </c>
      <c r="G45" s="247" t="s">
        <v>1548</v>
      </c>
    </row>
    <row r="46" spans="1:7" s="214" customFormat="1" ht="13.5" customHeight="1">
      <c r="A46" s="780" t="s">
        <v>346</v>
      </c>
      <c r="B46" s="248" t="s">
        <v>1549</v>
      </c>
      <c r="C46" s="249">
        <f ca="1">ROUND((C33+C39)*F27,0)</f>
        <v>182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2696</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1860</v>
      </c>
      <c r="D51" s="232"/>
      <c r="E51" s="232"/>
      <c r="F51" s="264"/>
      <c r="G51" s="234" t="s">
        <v>1560</v>
      </c>
    </row>
    <row r="52" spans="1:7" s="208" customFormat="1" ht="16.5" thickBot="1">
      <c r="A52" s="265" t="s">
        <v>1561</v>
      </c>
      <c r="B52" s="266"/>
      <c r="C52" s="267">
        <f ca="1">C31+C51</f>
        <v>4789</v>
      </c>
      <c r="D52" s="266"/>
      <c r="E52" s="266"/>
      <c r="F52" s="266"/>
      <c r="G52" s="268"/>
    </row>
    <row r="55" spans="1:7" ht="15">
      <c r="B55" s="270" t="s">
        <v>1562</v>
      </c>
      <c r="C55" s="271"/>
    </row>
    <row r="56" spans="1:7">
      <c r="B56" s="273" t="s">
        <v>802</v>
      </c>
      <c r="C56" s="275">
        <f ca="1">1-C57</f>
        <v>0.61199999999999999</v>
      </c>
    </row>
    <row r="57" spans="1:7">
      <c r="B57" s="273" t="s">
        <v>803</v>
      </c>
      <c r="C57" s="274">
        <f ca="1">ROUND(C51/C52,3)</f>
        <v>0.38800000000000001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2268.6392999999998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1620278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1620278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1620278</v>
      </c>
      <c r="D10" s="845">
        <f ca="1">IF(B1="",'数据-汇总表'!E6,IF(INDIRECT("'数据-取费表'!c"&amp;$G$1)="住宅",INDIRECT("'数据-取费表'!s"&amp;$G$1),INDIRECT("'数据-取费表'!k"&amp;$G$1)+INDIRECT("'数据-取费表'!s"&amp;$G$1)))</f>
        <v>8527.7800000000007</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1705556</v>
      </c>
      <c r="D19" s="849">
        <f ca="1">D9+D10</f>
        <v>8527.7800000000007</v>
      </c>
      <c r="E19" s="211">
        <f>'数据-取费表'!B31</f>
        <v>200</v>
      </c>
      <c r="F19" s="231"/>
      <c r="G19" s="1856"/>
    </row>
    <row r="20" spans="1:7" s="214" customFormat="1" ht="13.5" customHeight="1">
      <c r="A20" s="255" t="s">
        <v>1574</v>
      </c>
      <c r="B20" s="210" t="s">
        <v>1575</v>
      </c>
      <c r="C20" s="232">
        <f ca="1">ROUND((C5+C19)*F20,0)</f>
        <v>66517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115889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55900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58842</v>
      </c>
      <c r="D24" s="238"/>
      <c r="E24" s="238"/>
      <c r="F24" s="239"/>
      <c r="G24" s="240" t="s">
        <v>1586</v>
      </c>
    </row>
    <row r="25" spans="1:7" s="214" customFormat="1" ht="24">
      <c r="A25" s="780" t="s">
        <v>1476</v>
      </c>
      <c r="B25" s="215" t="s">
        <v>1587</v>
      </c>
      <c r="C25" s="1128">
        <f ca="1">ROUND(IF('数据-取费表'!B22&lt;=1,C20*F22*'数据-取费表'!B22/2,C20*(POWER((1+F22),'数据-取费表'!B22/2)-1)),0)</f>
        <v>1147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271388</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271388</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4082994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22300145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19613894</v>
      </c>
      <c r="D34" s="217"/>
      <c r="E34" s="220"/>
      <c r="F34" s="257"/>
      <c r="G34" s="219"/>
    </row>
    <row r="35" spans="1:7" ht="13.5" customHeight="1">
      <c r="A35" s="780" t="s">
        <v>351</v>
      </c>
      <c r="B35" s="215" t="s">
        <v>1527</v>
      </c>
      <c r="C35" s="220">
        <f ca="1">ROUND(C34*F35,0)</f>
        <v>588417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1705556</v>
      </c>
      <c r="D37" s="217">
        <f ca="1">D19</f>
        <v>8527.7800000000007</v>
      </c>
      <c r="E37" s="249">
        <f>'数据-取费表'!B35</f>
        <v>200</v>
      </c>
      <c r="F37" s="259"/>
      <c r="G37" s="261"/>
    </row>
    <row r="38" spans="1:7" ht="13.5" customHeight="1">
      <c r="A38" s="780" t="s">
        <v>354</v>
      </c>
      <c r="B38" s="215" t="s">
        <v>1533</v>
      </c>
      <c r="C38" s="220">
        <f ca="1">ROUND(C34*F38,0)</f>
        <v>392278</v>
      </c>
      <c r="D38" s="220"/>
      <c r="E38" s="220"/>
      <c r="F38" s="259">
        <f>'数据-取费表'!B36</f>
        <v>0.02</v>
      </c>
      <c r="G38" s="219" t="s">
        <v>1528</v>
      </c>
    </row>
    <row r="39" spans="1:7" s="214" customFormat="1" ht="13.5" customHeight="1">
      <c r="A39" s="255" t="s">
        <v>1534</v>
      </c>
      <c r="B39" s="210" t="s">
        <v>1535</v>
      </c>
      <c r="C39" s="232">
        <f ca="1">ROUND(C33*F20,0)</f>
        <v>446003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392372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384678</v>
      </c>
      <c r="D42" s="238"/>
      <c r="E42" s="238"/>
      <c r="F42" s="239"/>
      <c r="G42" s="3641" t="s">
        <v>1591</v>
      </c>
    </row>
    <row r="43" spans="1:7" ht="13.5" customHeight="1">
      <c r="A43" s="780" t="s">
        <v>347</v>
      </c>
      <c r="B43" s="215" t="s">
        <v>1545</v>
      </c>
      <c r="C43" s="238">
        <f ca="1">ROUND(IF('数据-取费表'!B22&lt;=1,C39*F22*'数据-取费表'!B20/2,C39*(POWER((1+F22),'数据-取费表'!B20/2)-1)),0)</f>
        <v>7694</v>
      </c>
      <c r="D43" s="238"/>
      <c r="E43" s="238"/>
      <c r="F43" s="239"/>
      <c r="G43" s="3642"/>
    </row>
    <row r="44" spans="1:7" ht="13.5" customHeight="1">
      <c r="A44" s="780" t="s">
        <v>348</v>
      </c>
      <c r="B44" s="215" t="s">
        <v>1546</v>
      </c>
      <c r="C44" s="238">
        <f ca="1">ROUND(IF('数据-取费表'!B22&lt;=1,C40*F22*'数据-取费表'!B20/2,C40*(POWER((1+F22),'数据-取费表'!B20/2)-1)),4)</f>
        <v>2.9999999999999997E-4</v>
      </c>
      <c r="D44" s="238"/>
      <c r="E44" s="238"/>
      <c r="F44" s="239"/>
      <c r="G44" s="3643"/>
    </row>
    <row r="45" spans="1:7" s="214" customFormat="1" ht="13.5" customHeight="1">
      <c r="A45" s="255" t="s">
        <v>1547</v>
      </c>
      <c r="B45" s="244" t="s">
        <v>1513</v>
      </c>
      <c r="C45" s="245">
        <f ca="1">C46</f>
        <v>1819692</v>
      </c>
      <c r="D45" s="235">
        <f ca="1">C47</f>
        <v>1.6000000000000001E-3</v>
      </c>
      <c r="E45" s="236" t="s">
        <v>1539</v>
      </c>
      <c r="F45" s="246">
        <f ca="1">F27</f>
        <v>0.08</v>
      </c>
      <c r="G45" s="247" t="s">
        <v>1548</v>
      </c>
    </row>
    <row r="46" spans="1:7" s="214" customFormat="1" ht="13.5" customHeight="1">
      <c r="A46" s="780" t="s">
        <v>346</v>
      </c>
      <c r="B46" s="248" t="s">
        <v>1549</v>
      </c>
      <c r="C46" s="249">
        <f ca="1">ROUND((C33+C39)*F27,0)</f>
        <v>1819692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26961448</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f ca="1">ROUND(C49*F50,0)</f>
        <v>18603399</v>
      </c>
      <c r="D51" s="232"/>
      <c r="E51" s="232"/>
      <c r="F51" s="264"/>
      <c r="G51" s="234" t="s">
        <v>1560</v>
      </c>
    </row>
    <row r="52" spans="1:7" s="208" customFormat="1" ht="16.5" thickBot="1">
      <c r="A52" s="265" t="s">
        <v>1561</v>
      </c>
      <c r="B52" s="266"/>
      <c r="C52" s="267">
        <f ca="1">C31+C51</f>
        <v>22686393</v>
      </c>
      <c r="D52" s="266"/>
      <c r="E52" s="266"/>
      <c r="F52" s="266"/>
      <c r="G52" s="268"/>
    </row>
    <row r="55" spans="1:7" ht="15">
      <c r="B55" s="270" t="s">
        <v>1562</v>
      </c>
      <c r="C55" s="271"/>
    </row>
    <row r="56" spans="1:7">
      <c r="B56" s="273" t="s">
        <v>802</v>
      </c>
      <c r="C56" s="275">
        <f ca="1">1-C57</f>
        <v>0.18000000000000005</v>
      </c>
    </row>
    <row r="57" spans="1:7">
      <c r="B57" s="273" t="s">
        <v>803</v>
      </c>
      <c r="C57" s="274">
        <f ca="1">ROUND(C51/C52,3)</f>
        <v>0.82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8527.7800000000007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8527.7800000000007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162</v>
      </c>
      <c r="D20" s="846">
        <f ca="1">IF(C1="",'数据-汇总表'!E6,IF(INDIRECT("'数据-取费表'!c"&amp;$K$1)="住宅",INDIRECT("'数据-取费表'!s"&amp;$K$1),INDIRECT("'数据-取费表'!k"&amp;$K$1)+INDIRECT("'数据-取费表'!s"&amp;$K$1)))</f>
        <v>8527.7800000000007</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27.49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4517</v>
      </c>
      <c r="C2" s="1387" t="s">
        <v>805</v>
      </c>
      <c r="D2" s="1387"/>
      <c r="E2" s="1388"/>
      <c r="F2" s="1389"/>
      <c r="G2" s="2705"/>
      <c r="H2" s="2694"/>
      <c r="I2" s="2694"/>
      <c r="J2" s="2694"/>
      <c r="K2" s="2695"/>
      <c r="L2" s="2694"/>
      <c r="M2" s="2694"/>
    </row>
    <row r="3" spans="1:37" ht="18" customHeight="1" thickBot="1">
      <c r="A3" s="1390" t="s">
        <v>806</v>
      </c>
      <c r="B3" s="1391">
        <f ca="1">IF(ISERROR(B2*10000/F43),0,ROUND(B2*10000/F43,0))</f>
        <v>5297</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331</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331</v>
      </c>
      <c r="D6" s="155" t="s">
        <v>2109</v>
      </c>
      <c r="E6" s="302" t="s">
        <v>696</v>
      </c>
      <c r="F6" s="303">
        <f ca="1">INDIRECT("'数据-取费表'!u"&amp;$G$1)</f>
        <v>1.25</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8527.7800000000007</v>
      </c>
      <c r="G7" s="1384"/>
      <c r="H7" s="304"/>
      <c r="I7" s="3647"/>
      <c r="J7" s="306"/>
      <c r="K7" s="307"/>
      <c r="L7" s="302" t="s">
        <v>697</v>
      </c>
      <c r="M7" s="303">
        <f ca="1">F7</f>
        <v>8527.7800000000007</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1860</v>
      </c>
      <c r="D13" s="1081" t="s">
        <v>705</v>
      </c>
      <c r="E13" s="1081" t="s">
        <v>706</v>
      </c>
      <c r="F13" s="1082">
        <f ca="1">INDIRECT("'数据-取费表'!y"&amp;$G$1)</f>
        <v>0.69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1961</v>
      </c>
      <c r="D14" s="1345" t="s">
        <v>708</v>
      </c>
      <c r="E14" s="1342"/>
      <c r="F14" s="319"/>
      <c r="G14" s="1384"/>
      <c r="H14" s="982" t="s">
        <v>398</v>
      </c>
      <c r="I14" s="302" t="s">
        <v>709</v>
      </c>
      <c r="J14" s="21">
        <f ca="1">C29</f>
        <v>2696</v>
      </c>
      <c r="K14" s="12"/>
      <c r="L14" s="807"/>
      <c r="M14" s="808"/>
    </row>
    <row r="15" spans="1:37" s="1397" customFormat="1" ht="18" customHeight="1" thickBot="1">
      <c r="A15" s="982" t="s">
        <v>399</v>
      </c>
      <c r="B15" s="302" t="s">
        <v>710</v>
      </c>
      <c r="C15" s="21">
        <f ca="1">ROUND(C14*F15,0)</f>
        <v>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171</v>
      </c>
      <c r="D17" s="302" t="s">
        <v>717</v>
      </c>
      <c r="E17" s="302" t="s">
        <v>718</v>
      </c>
      <c r="F17" s="23">
        <f>'数据-取费表'!B35</f>
        <v>200</v>
      </c>
      <c r="G17" s="1396"/>
      <c r="H17" s="982" t="s">
        <v>398</v>
      </c>
      <c r="I17" s="302" t="s">
        <v>719</v>
      </c>
      <c r="J17" s="2315">
        <f ca="1">ROUND(IF(AND(项目基本情况!B11="自然人",项目基本情况!B10="北京市"),J6*M17/(1+'数据-取费表'!C42),J18+J19+J20),2)</f>
        <v>3.79</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2230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45</v>
      </c>
      <c r="D20" s="323" t="s">
        <v>729</v>
      </c>
      <c r="E20" s="302" t="s">
        <v>712</v>
      </c>
      <c r="F20" s="322">
        <f>'数据-取费表'!B37</f>
        <v>0.02</v>
      </c>
      <c r="G20" s="1396"/>
      <c r="H20" s="982" t="s">
        <v>680</v>
      </c>
      <c r="I20" s="155" t="s">
        <v>730</v>
      </c>
      <c r="J20" s="22">
        <f ca="1">ROUND(M20*M21/10000,2)</f>
        <v>3.79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25252.5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13.48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182</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2696</v>
      </c>
      <c r="D29" s="1092"/>
      <c r="E29" s="1090"/>
      <c r="F29" s="1093"/>
      <c r="G29" s="1396"/>
      <c r="H29" s="334" t="s">
        <v>396</v>
      </c>
      <c r="I29" s="335" t="s">
        <v>768</v>
      </c>
      <c r="J29" s="336">
        <f ca="1">ROUND(J26/(1+F40)^F41,0)</f>
        <v>0</v>
      </c>
      <c r="K29" s="337" t="s">
        <v>769</v>
      </c>
      <c r="L29" s="338"/>
      <c r="M29" s="339">
        <f ca="1">INDIRECT("'数据-取费表'!k"&amp;$G$1)</f>
        <v>8527.7800000000007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58.96</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17.34</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37.83</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3.79</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25252.5</v>
      </c>
      <c r="G35" s="1384"/>
      <c r="H35" s="2696"/>
      <c r="I35" s="1398"/>
      <c r="J35" s="1399"/>
      <c r="K35" s="2700"/>
      <c r="L35" s="2699"/>
      <c r="M35" s="2699"/>
    </row>
    <row r="36" spans="1:18" ht="18" customHeight="1">
      <c r="A36" s="1102" t="s">
        <v>402</v>
      </c>
      <c r="B36" s="302" t="s">
        <v>738</v>
      </c>
      <c r="C36" s="21">
        <f ca="1">ROUND(C29*F36,2)</f>
        <v>13.48</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1.86</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3.31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253</v>
      </c>
      <c r="D39" s="1095" t="s">
        <v>773</v>
      </c>
      <c r="E39" s="1096"/>
      <c r="F39" s="1097"/>
      <c r="G39" s="1384"/>
      <c r="H39" s="2699"/>
      <c r="I39" s="1398"/>
      <c r="J39" s="1399"/>
      <c r="K39" s="2703"/>
      <c r="L39" s="2699"/>
      <c r="M39" s="2699"/>
    </row>
    <row r="40" spans="1:18" ht="18" customHeight="1">
      <c r="A40" s="299" t="s">
        <v>395</v>
      </c>
      <c r="B40" s="300" t="s">
        <v>774</v>
      </c>
      <c r="C40" s="301">
        <f ca="1">ROUND(C39*(1-((1+F42)/(1+F40))^F41)/(F40-F42),0)</f>
        <v>4369</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27.49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5123</v>
      </c>
      <c r="D43" s="337" t="s">
        <v>777</v>
      </c>
      <c r="E43" s="338" t="s">
        <v>778</v>
      </c>
      <c r="F43" s="339">
        <f ca="1">INDIRECT("'数据-取费表'!k"&amp;$G$1)</f>
        <v>8527.7800000000007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-4635</v>
      </c>
      <c r="D46" s="1406" t="str">
        <f>C2</f>
        <v>万元</v>
      </c>
      <c r="E46" s="1400"/>
      <c r="F46" s="1400"/>
      <c r="I46" s="1407" t="s">
        <v>810</v>
      </c>
      <c r="J46" s="1408"/>
      <c r="K46" s="1409"/>
      <c r="L46" s="1410">
        <f ca="1">IF(M47="住宅",0,IF(L48&gt;J51,L60,J60))</f>
        <v>148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4369</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27.49</v>
      </c>
      <c r="O48" s="1418" t="s">
        <v>404</v>
      </c>
      <c r="P48" s="1419" t="s">
        <v>821</v>
      </c>
      <c r="Q48" s="1420">
        <f ca="1">J60</f>
        <v>148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2">
        <v>2002</v>
      </c>
      <c r="K49" s="1423" t="s">
        <v>824</v>
      </c>
      <c r="L49" s="1427"/>
      <c r="O49" s="1428" t="s">
        <v>405</v>
      </c>
      <c r="P49" s="1419" t="s">
        <v>825</v>
      </c>
      <c r="Q49" s="1420">
        <f ca="1">C29</f>
        <v>2696</v>
      </c>
      <c r="R49" s="1420" t="s">
        <v>818</v>
      </c>
    </row>
    <row r="50" spans="1:18" s="1384" customFormat="1" ht="13.5" thickBot="1">
      <c r="A50" s="976"/>
      <c r="B50" s="979"/>
      <c r="C50" s="1118"/>
      <c r="D50" s="953"/>
      <c r="E50" s="1056" t="s">
        <v>697</v>
      </c>
      <c r="F50" s="1057">
        <f ca="1">F7</f>
        <v>8527.7800000000007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1829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27.49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27.49</v>
      </c>
      <c r="K53" s="3644" t="s">
        <v>837</v>
      </c>
      <c r="L53" s="3645"/>
      <c r="O53" s="1418" t="s">
        <v>409</v>
      </c>
      <c r="P53" s="1419" t="s">
        <v>838</v>
      </c>
      <c r="Q53" s="1420">
        <f ca="1">Q47+Q48</f>
        <v>4517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0.03</v>
      </c>
      <c r="K55" s="1445" t="s">
        <v>841</v>
      </c>
      <c r="L55" s="1446"/>
      <c r="O55" s="1411" t="s">
        <v>811</v>
      </c>
      <c r="P55" s="1412" t="s">
        <v>812</v>
      </c>
      <c r="Q55" s="1413" t="s">
        <v>813</v>
      </c>
      <c r="R55" s="1413" t="s">
        <v>814</v>
      </c>
    </row>
    <row r="56" spans="1:18" s="1384" customFormat="1" ht="25.5" thickTop="1" thickBot="1">
      <c r="A56" s="957">
        <v>2</v>
      </c>
      <c r="B56" s="958" t="s">
        <v>704</v>
      </c>
      <c r="C56" s="232">
        <f ca="1">C13</f>
        <v>1860</v>
      </c>
      <c r="D56" s="1447"/>
      <c r="E56" s="1448"/>
      <c r="F56" s="1440"/>
      <c r="I56" s="1449" t="s">
        <v>842</v>
      </c>
      <c r="J56" s="1450" t="s">
        <v>3406</v>
      </c>
      <c r="K56" s="1421" t="s">
        <v>843</v>
      </c>
      <c r="L56" s="1424" t="str">
        <f ca="1">IF(L48&lt;J51,"——",L48-J53)</f>
        <v>——</v>
      </c>
      <c r="O56" s="1418" t="s">
        <v>403</v>
      </c>
      <c r="P56" s="1419" t="s">
        <v>817</v>
      </c>
      <c r="Q56" s="1420">
        <f ca="1">C40+J29</f>
        <v>4369</v>
      </c>
      <c r="R56" s="1420" t="s">
        <v>818</v>
      </c>
    </row>
    <row r="57" spans="1:18" s="1384" customFormat="1" ht="24.75" thickBot="1">
      <c r="A57" s="1451"/>
      <c r="B57" s="950" t="s">
        <v>767</v>
      </c>
      <c r="C57" s="238">
        <f ca="1">C29</f>
        <v>2696</v>
      </c>
      <c r="D57" s="1452"/>
      <c r="E57" s="1453"/>
      <c r="F57" s="1454"/>
      <c r="I57" s="1455" t="s">
        <v>844</v>
      </c>
      <c r="J57" s="1456">
        <f ca="1">IF(OR(M47="住宅",J51&lt;L48,J56="是"),"——",J51-L48)</f>
        <v>0.51000000000000156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4</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1078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3.79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4369</v>
      </c>
      <c r="R62" s="1420" t="s">
        <v>410</v>
      </c>
    </row>
    <row r="63" spans="1:18" s="1384" customFormat="1" ht="13.5" thickBot="1">
      <c r="A63" s="326"/>
      <c r="B63" s="956"/>
      <c r="C63" s="26"/>
      <c r="D63" s="966"/>
      <c r="E63" s="950" t="s">
        <v>788</v>
      </c>
      <c r="F63" s="303">
        <f t="shared" ca="1" si="0"/>
        <v>25252.5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1.86</v>
      </c>
      <c r="D65" s="964" t="s">
        <v>743</v>
      </c>
      <c r="E65" s="950" t="s">
        <v>744</v>
      </c>
      <c r="F65" s="330">
        <f t="shared" ca="1" si="0"/>
        <v>1E-3</v>
      </c>
      <c r="I65" s="1462" t="s">
        <v>867</v>
      </c>
      <c r="J65" s="1463">
        <v>40</v>
      </c>
      <c r="K65" s="1463">
        <v>30</v>
      </c>
      <c r="L65" s="1463">
        <v>50</v>
      </c>
      <c r="M65" s="1465">
        <v>0.02</v>
      </c>
      <c r="O65" s="1418" t="s">
        <v>403</v>
      </c>
      <c r="P65" s="1419" t="s">
        <v>868</v>
      </c>
      <c r="Q65" s="1420">
        <f ca="1">C40+J29</f>
        <v>4369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1829</v>
      </c>
      <c r="R67" s="1420" t="s">
        <v>870</v>
      </c>
    </row>
    <row r="68" spans="1:18" s="1384" customFormat="1" ht="16.5" thickBot="1">
      <c r="A68" s="947" t="s">
        <v>395</v>
      </c>
      <c r="B68" s="948" t="s">
        <v>774</v>
      </c>
      <c r="C68" s="301">
        <f ca="1">ROUND(C67*(1-((1+F70)/(1+F68))^F69)/(F68-F70),0)</f>
        <v>-266</v>
      </c>
      <c r="D68" s="965" t="s">
        <v>758</v>
      </c>
      <c r="E68" s="950" t="s">
        <v>759</v>
      </c>
      <c r="F68" s="312">
        <f ca="1">F40</f>
        <v>5.5E-2</v>
      </c>
      <c r="O68" s="1428" t="s">
        <v>406</v>
      </c>
      <c r="P68" s="1467" t="s">
        <v>871</v>
      </c>
      <c r="Q68" s="1420">
        <f ca="1">ROUND(Q69-Q70*Q71,0)</f>
        <v>123</v>
      </c>
      <c r="R68" s="1420" t="s">
        <v>414</v>
      </c>
    </row>
    <row r="69" spans="1:18" s="1384" customFormat="1" ht="13.5" thickBot="1">
      <c r="A69" s="951"/>
      <c r="B69" s="952"/>
      <c r="C69" s="306"/>
      <c r="D69" s="970" t="s">
        <v>762</v>
      </c>
      <c r="E69" s="950" t="s">
        <v>763</v>
      </c>
      <c r="F69" s="333">
        <f ca="1">F41</f>
        <v>27.49</v>
      </c>
      <c r="O69" s="1428" t="s">
        <v>411</v>
      </c>
      <c r="P69" s="1467" t="s">
        <v>872</v>
      </c>
      <c r="Q69" s="1420">
        <f ca="1">C39</f>
        <v>253</v>
      </c>
      <c r="R69" s="1420" t="s">
        <v>818</v>
      </c>
    </row>
    <row r="70" spans="1:18" s="1384" customFormat="1" ht="13.5" thickBot="1">
      <c r="A70" s="954"/>
      <c r="B70" s="955"/>
      <c r="C70" s="310"/>
      <c r="D70" s="966"/>
      <c r="E70" s="950" t="s">
        <v>766</v>
      </c>
      <c r="F70" s="1054"/>
      <c r="O70" s="1428" t="s">
        <v>412</v>
      </c>
      <c r="P70" s="1467" t="s">
        <v>873</v>
      </c>
      <c r="Q70" s="1420">
        <f ca="1">C13</f>
        <v>1860</v>
      </c>
      <c r="R70" s="1420" t="s">
        <v>818</v>
      </c>
    </row>
    <row r="71" spans="1:18" s="1384" customFormat="1" ht="13.5" thickBot="1">
      <c r="A71" s="971" t="s">
        <v>396</v>
      </c>
      <c r="B71" s="972" t="s">
        <v>776</v>
      </c>
      <c r="C71" s="336">
        <f ca="1">ROUND(C68*10000/F71,0)</f>
        <v>-312</v>
      </c>
      <c r="D71" s="973" t="s">
        <v>777</v>
      </c>
      <c r="E71" s="974" t="s">
        <v>778</v>
      </c>
      <c r="F71" s="339">
        <f ca="1">F43</f>
        <v>8527.7800000000007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130</v>
      </c>
      <c r="D75" s="1384"/>
      <c r="E75" s="1384"/>
      <c r="F75" s="1384"/>
      <c r="K75" s="1402"/>
      <c r="L75" s="1384"/>
      <c r="O75" s="1418" t="s">
        <v>409</v>
      </c>
      <c r="P75" s="1419" t="s">
        <v>838</v>
      </c>
      <c r="Q75" s="1420">
        <f ca="1">Q65+Q66</f>
        <v>4369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0.57400000000000007</v>
      </c>
    </row>
    <row r="83" spans="2:3">
      <c r="B83" s="273" t="s">
        <v>803</v>
      </c>
      <c r="C83" s="274">
        <f ca="1">ROUND(C13/C40,3)</f>
        <v>0.42599999999999999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#DIV/0!</v>
      </c>
      <c r="D45" s="3431"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3363</v>
      </c>
      <c r="E2" s="3443"/>
      <c r="F2" s="2845"/>
      <c r="G2" s="2846"/>
      <c r="H2" s="2847"/>
      <c r="I2" s="2848"/>
      <c r="J2" s="3649" t="s">
        <v>2321</v>
      </c>
      <c r="K2" s="365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1" t="s">
        <v>2331</v>
      </c>
      <c r="K3" s="365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1" t="s">
        <v>2333</v>
      </c>
      <c r="K4" s="365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3" t="s">
        <v>2337</v>
      </c>
      <c r="B6" s="3654"/>
      <c r="C6" s="3655"/>
      <c r="D6" s="2869"/>
      <c r="E6" s="2870"/>
      <c r="F6" s="2871"/>
      <c r="G6" s="2872"/>
      <c r="H6" s="2847"/>
      <c r="I6" s="2848"/>
      <c r="J6" s="3656">
        <v>1</v>
      </c>
      <c r="K6" s="365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6"/>
      <c r="K7" s="365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0" t="s">
        <v>2351</v>
      </c>
      <c r="C8" s="3661"/>
      <c r="D8" s="2888" t="s">
        <v>2352</v>
      </c>
      <c r="E8" s="2889" t="s">
        <v>2353</v>
      </c>
      <c r="F8" s="2890" t="s">
        <v>2354</v>
      </c>
      <c r="G8" s="2891"/>
      <c r="H8" s="2847"/>
      <c r="I8" s="2848"/>
      <c r="J8" s="3656"/>
      <c r="K8" s="365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0" t="s">
        <v>2357</v>
      </c>
      <c r="C9" s="3661"/>
      <c r="D9" s="2888">
        <f>ROUND(D6*E9,0)</f>
        <v>0</v>
      </c>
      <c r="E9" s="2892"/>
      <c r="F9" s="2893" t="s">
        <v>2358</v>
      </c>
      <c r="G9" s="2872"/>
      <c r="H9" s="2847"/>
      <c r="I9" s="2848"/>
      <c r="J9" s="3656"/>
      <c r="K9" s="3658"/>
      <c r="L9" s="2882" t="s">
        <v>2359</v>
      </c>
      <c r="M9" s="2883"/>
      <c r="N9" s="2859"/>
      <c r="O9" s="2884"/>
      <c r="P9" s="2884"/>
      <c r="Q9" s="2885">
        <v>365</v>
      </c>
      <c r="R9" s="2886">
        <f t="shared" si="0"/>
        <v>0</v>
      </c>
      <c r="S9" s="2840"/>
      <c r="T9" s="2840"/>
      <c r="U9" s="2840"/>
      <c r="V9" s="2848"/>
    </row>
    <row r="10" spans="1:22" s="2852" customFormat="1" ht="13.15" customHeight="1">
      <c r="A10" s="2887">
        <v>2</v>
      </c>
      <c r="B10" s="3660" t="s">
        <v>2360</v>
      </c>
      <c r="C10" s="3661"/>
      <c r="D10" s="2888">
        <f>ROUND(D6*E10,0)</f>
        <v>0</v>
      </c>
      <c r="E10" s="2892"/>
      <c r="F10" s="2893" t="s">
        <v>2361</v>
      </c>
      <c r="G10" s="2872"/>
      <c r="H10" s="2847"/>
      <c r="I10" s="2848"/>
      <c r="J10" s="3656"/>
      <c r="K10" s="3658"/>
      <c r="L10" s="2882" t="s">
        <v>2362</v>
      </c>
      <c r="M10" s="2883"/>
      <c r="N10" s="2859"/>
      <c r="O10" s="2884"/>
      <c r="P10" s="2884"/>
      <c r="Q10" s="2885">
        <v>365</v>
      </c>
      <c r="R10" s="2886">
        <f t="shared" si="0"/>
        <v>0</v>
      </c>
      <c r="S10" s="2840"/>
      <c r="T10" s="2840"/>
      <c r="U10" s="2840"/>
      <c r="V10" s="2848"/>
    </row>
    <row r="11" spans="1:22" s="2852" customFormat="1" ht="13.15" customHeight="1">
      <c r="A11" s="2887">
        <v>3</v>
      </c>
      <c r="B11" s="3660" t="s">
        <v>2363</v>
      </c>
      <c r="C11" s="3661"/>
      <c r="D11" s="2888">
        <f>D12+D14+D15+D16</f>
        <v>0</v>
      </c>
      <c r="E11" s="2894" t="e">
        <f>D11/D6</f>
        <v>#DIV/0!</v>
      </c>
      <c r="F11" s="2890"/>
      <c r="G11" s="2891"/>
      <c r="H11" s="2847"/>
      <c r="I11" s="2848"/>
      <c r="J11" s="3656"/>
      <c r="K11" s="365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2" t="s">
        <v>2366</v>
      </c>
      <c r="C12" s="3663"/>
      <c r="D12" s="2896">
        <f>ROUND(D13*1.2%*(1-30%),0)</f>
        <v>0</v>
      </c>
      <c r="E12" s="2897">
        <v>1.2E-2</v>
      </c>
      <c r="F12" s="2890" t="s">
        <v>2367</v>
      </c>
      <c r="G12" s="2891"/>
      <c r="H12" s="2847"/>
      <c r="I12" s="2848"/>
      <c r="J12" s="3656"/>
      <c r="K12" s="365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6"/>
      <c r="K13" s="365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2" t="s">
        <v>2372</v>
      </c>
      <c r="C14" s="3663"/>
      <c r="D14" s="2896">
        <f>ROUND(E14*B5/10000,0)</f>
        <v>0</v>
      </c>
      <c r="E14" s="2885"/>
      <c r="F14" s="2890" t="s">
        <v>2373</v>
      </c>
      <c r="G14" s="2891"/>
      <c r="H14" s="2847"/>
      <c r="I14" s="2848"/>
      <c r="J14" s="3656"/>
      <c r="K14" s="365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2" t="s">
        <v>2376</v>
      </c>
      <c r="C15" s="3663"/>
      <c r="D15" s="2896">
        <f>ROUND(D6*E15,0)</f>
        <v>0</v>
      </c>
      <c r="E15" s="2897">
        <v>5.5E-2</v>
      </c>
      <c r="F15" s="2890" t="s">
        <v>2377</v>
      </c>
      <c r="G15" s="2872"/>
      <c r="H15" s="2847"/>
      <c r="I15" s="2848"/>
      <c r="J15" s="3656">
        <v>2</v>
      </c>
      <c r="K15" s="365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2" t="s">
        <v>2385</v>
      </c>
      <c r="C16" s="3663"/>
      <c r="D16" s="2907">
        <f>D6*E16</f>
        <v>0</v>
      </c>
      <c r="E16" s="2908"/>
      <c r="F16" s="2893" t="s">
        <v>2386</v>
      </c>
      <c r="G16" s="2872"/>
      <c r="H16" s="2847"/>
      <c r="I16" s="2848"/>
      <c r="J16" s="3656"/>
      <c r="K16" s="365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64" t="s">
        <v>2388</v>
      </c>
      <c r="C17" s="3665"/>
      <c r="D17" s="2910">
        <f>ROUND(D6*E17,0)</f>
        <v>0</v>
      </c>
      <c r="E17" s="2911"/>
      <c r="F17" s="2912" t="s">
        <v>2389</v>
      </c>
      <c r="G17" s="2872"/>
      <c r="H17" s="2847"/>
      <c r="I17" s="2848"/>
      <c r="J17" s="3656"/>
      <c r="K17" s="365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6"/>
      <c r="K18" s="365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6"/>
      <c r="K19" s="365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6">
        <v>3</v>
      </c>
      <c r="K20" s="365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6"/>
      <c r="K21" s="365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6"/>
      <c r="K22" s="365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6"/>
      <c r="K23" s="365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6"/>
      <c r="K24" s="365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9" t="s">
        <v>2321</v>
      </c>
      <c r="K32" s="365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1" t="s">
        <v>2331</v>
      </c>
      <c r="K33" s="365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1" t="s">
        <v>2333</v>
      </c>
      <c r="K34" s="365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6">
        <v>1</v>
      </c>
      <c r="K36" s="365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6"/>
      <c r="K37" s="365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6"/>
      <c r="K38" s="365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6"/>
      <c r="K39" s="365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6"/>
      <c r="K40" s="365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25" sqref="K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4517</v>
      </c>
      <c r="C2" s="1872" t="s">
        <v>1651</v>
      </c>
      <c r="D2" s="1873" t="s">
        <v>1652</v>
      </c>
      <c r="E2" s="2606">
        <f>SUM(E6:E13)</f>
        <v>8527.7800000000007</v>
      </c>
      <c r="F2" s="2706"/>
      <c r="G2" s="1489"/>
      <c r="H2" s="1489"/>
      <c r="I2" s="1489"/>
      <c r="J2" s="1489"/>
      <c r="K2" s="1489"/>
      <c r="L2" s="1489"/>
      <c r="M2" s="1489"/>
      <c r="N2" s="1489"/>
      <c r="O2" s="1489"/>
      <c r="P2" s="1489"/>
      <c r="Q2" s="1489"/>
      <c r="R2" s="1489"/>
      <c r="S2" s="1489"/>
    </row>
    <row r="3" spans="1:22" ht="15.75">
      <c r="A3" s="1870" t="s">
        <v>686</v>
      </c>
      <c r="B3" s="2600">
        <f ca="1">ROUND(B2*10000/E2,0)</f>
        <v>5297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8" t="s">
        <v>1654</v>
      </c>
      <c r="C5" s="3669"/>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4517</v>
      </c>
      <c r="C6" s="1872" t="s">
        <v>1651</v>
      </c>
      <c r="D6" s="2708"/>
      <c r="E6" s="2605">
        <f>IF(OR(A6=0,F6="否"),0,'数据-取费表'!K6+'数据-取费表'!S6)</f>
        <v>8527.7800000000007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K25" sqref="K2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8527.7800000000007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4"/>
      <c r="M4" s="2715"/>
      <c r="N4" s="2715"/>
      <c r="O4" s="2715"/>
      <c r="P4" s="3692" t="s">
        <v>1672</v>
      </c>
      <c r="Q4" s="3693"/>
      <c r="R4" s="3675" t="s">
        <v>1668</v>
      </c>
      <c r="S4" s="3676"/>
      <c r="T4" s="3675" t="s">
        <v>1669</v>
      </c>
      <c r="U4" s="3676"/>
      <c r="V4" s="3700" t="s">
        <v>1670</v>
      </c>
      <c r="W4" s="3700"/>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1890"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7"/>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7"/>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7"/>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7"/>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5"/>
      <c r="Q16" s="1352"/>
      <c r="R16" s="705"/>
      <c r="S16" s="706"/>
      <c r="T16" s="705"/>
      <c r="U16" s="706"/>
      <c r="V16" s="705"/>
      <c r="W16" s="706"/>
      <c r="X16" s="1355"/>
      <c r="Y16" s="370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5"/>
      <c r="Q18" s="1352"/>
      <c r="R18" s="705"/>
      <c r="S18" s="706"/>
      <c r="T18" s="705"/>
      <c r="U18" s="706"/>
      <c r="V18" s="705"/>
      <c r="W18" s="706"/>
      <c r="X18" s="1355"/>
      <c r="Y18" s="370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5"/>
      <c r="Q20" s="1352"/>
      <c r="R20" s="705"/>
      <c r="S20" s="706"/>
      <c r="T20" s="705"/>
      <c r="U20" s="706"/>
      <c r="V20" s="705"/>
      <c r="W20" s="706"/>
      <c r="X20" s="1355"/>
      <c r="Y20" s="370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5"/>
      <c r="Q22" s="1352"/>
      <c r="R22" s="705"/>
      <c r="S22" s="706"/>
      <c r="T22" s="705"/>
      <c r="U22" s="706"/>
      <c r="V22" s="705"/>
      <c r="W22" s="706"/>
      <c r="X22" s="1355"/>
      <c r="Y22" s="370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9" t="s">
        <v>1696</v>
      </c>
      <c r="Q32" s="1352" t="str">
        <f t="shared" si="11"/>
        <v>建筑类型</v>
      </c>
      <c r="R32" s="705" t="s">
        <v>18</v>
      </c>
      <c r="S32" s="706">
        <f t="shared" si="12"/>
        <v>100</v>
      </c>
      <c r="T32" s="705" t="s">
        <v>18</v>
      </c>
      <c r="U32" s="706">
        <f t="shared" si="13"/>
        <v>100</v>
      </c>
      <c r="V32" s="705" t="s">
        <v>18</v>
      </c>
      <c r="W32" s="706">
        <f t="shared" si="14"/>
        <v>100</v>
      </c>
      <c r="X32" s="1355"/>
      <c r="Y32" s="371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8527.7800000000007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700"/>
      <c r="AC6" s="3672"/>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7"/>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5"/>
      <c r="Q22" s="1352"/>
      <c r="R22" s="705"/>
      <c r="S22" s="706"/>
      <c r="T22" s="705"/>
      <c r="U22" s="706"/>
      <c r="V22" s="705"/>
      <c r="W22" s="706"/>
      <c r="X22" s="1355"/>
      <c r="Y22" s="370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0"/>
      <c r="Q36" s="1352" t="str">
        <f t="shared" si="11"/>
        <v>成新度</v>
      </c>
      <c r="R36" s="705" t="s">
        <v>14</v>
      </c>
      <c r="S36" s="706" t="e">
        <f t="shared" si="12"/>
        <v>#N/A</v>
      </c>
      <c r="T36" s="705" t="s">
        <v>14</v>
      </c>
      <c r="U36" s="706" t="e">
        <f t="shared" si="13"/>
        <v>#N/A</v>
      </c>
      <c r="V36" s="705" t="s">
        <v>14</v>
      </c>
      <c r="W36" s="706" t="e">
        <f t="shared" si="14"/>
        <v>#N/A</v>
      </c>
      <c r="X36" s="1355"/>
      <c r="Y36" s="371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5" t="str">
        <f>A47</f>
        <v>成交单价（元/平方米）</v>
      </c>
      <c r="Q47" s="3705"/>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8527.7800000000007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722" t="s">
        <v>1775</v>
      </c>
      <c r="Q4" s="3723"/>
      <c r="R4" s="3717" t="s">
        <v>1771</v>
      </c>
      <c r="S4" s="3718"/>
      <c r="T4" s="3717" t="s">
        <v>1772</v>
      </c>
      <c r="U4" s="3718"/>
      <c r="V4" s="3726" t="s">
        <v>1773</v>
      </c>
      <c r="W4" s="3726"/>
      <c r="X4" s="1958"/>
      <c r="Y4" s="3717" t="s">
        <v>1775</v>
      </c>
      <c r="Z4" s="3718"/>
      <c r="AA4" s="3716" t="s">
        <v>1771</v>
      </c>
      <c r="AB4" s="3716" t="s">
        <v>1772</v>
      </c>
      <c r="AC4" s="3719" t="s">
        <v>1773</v>
      </c>
    </row>
    <row r="5" spans="1:29" ht="15">
      <c r="A5" s="358"/>
      <c r="B5" s="359"/>
      <c r="C5" s="3681" t="s">
        <v>1673</v>
      </c>
      <c r="D5" s="3682"/>
      <c r="E5" s="3679" t="s">
        <v>1674</v>
      </c>
      <c r="F5" s="3680"/>
      <c r="G5" s="3681" t="s">
        <v>1675</v>
      </c>
      <c r="H5" s="3682"/>
      <c r="I5" s="3681" t="s">
        <v>1676</v>
      </c>
      <c r="J5" s="3682"/>
      <c r="K5" s="559"/>
      <c r="L5" s="2714"/>
      <c r="M5" s="2715"/>
      <c r="N5" s="2715"/>
      <c r="O5" s="2715"/>
      <c r="P5" s="3724"/>
      <c r="Q5" s="3695"/>
      <c r="R5" s="3677"/>
      <c r="S5" s="3678"/>
      <c r="T5" s="3677"/>
      <c r="U5" s="3678"/>
      <c r="V5" s="3700"/>
      <c r="W5" s="3700"/>
      <c r="X5" s="1355"/>
      <c r="Y5" s="3677"/>
      <c r="Z5" s="3678"/>
      <c r="AA5" s="3671"/>
      <c r="AB5" s="3671"/>
      <c r="AC5" s="3720"/>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725"/>
      <c r="Q6" s="3697"/>
      <c r="R6" s="3677"/>
      <c r="S6" s="3678"/>
      <c r="T6" s="3698"/>
      <c r="U6" s="3699"/>
      <c r="V6" s="3700"/>
      <c r="W6" s="3700"/>
      <c r="X6" s="1355"/>
      <c r="Y6" s="3698"/>
      <c r="Z6" s="3699"/>
      <c r="AA6" s="3672"/>
      <c r="AB6" s="3672"/>
      <c r="AC6" s="3721"/>
    </row>
    <row r="7" spans="1:29" s="108" customFormat="1" ht="15.75" thickBot="1">
      <c r="A7" s="362" t="s">
        <v>1679</v>
      </c>
      <c r="B7" s="363"/>
      <c r="C7" s="364">
        <f>'数据-取费表'!B2</f>
        <v>45425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7"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7"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5"/>
      <c r="Q22" s="1352"/>
      <c r="R22" s="705"/>
      <c r="S22" s="706"/>
      <c r="T22" s="705"/>
      <c r="U22" s="706"/>
      <c r="V22" s="705"/>
      <c r="W22" s="706"/>
      <c r="X22" s="1355"/>
      <c r="Y22" s="370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5"/>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7"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估价对象为北京市房地产，为所有。根据《国有土地使用证》[]，估价对象（分摊）出让国有建设用地使用权面积为25252.5平方米，建筑面积为8527.78平方米。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估价对象为北京市房地产,属开发建设的，该项目尚在开发建设中。根据《国有土地使用证》[]，估价对象（分摊）出让国有建设用地使用权面积为25252.5平方米，规划建筑面积为8527.78平方米。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8527.7800000000007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8"/>
      <c r="Q15" s="1352"/>
      <c r="R15" s="705"/>
      <c r="S15" s="706"/>
      <c r="T15" s="705"/>
      <c r="U15" s="706"/>
      <c r="V15" s="705"/>
      <c r="W15" s="706"/>
      <c r="X15" s="1355"/>
      <c r="Y15" s="370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8"/>
      <c r="Q17" s="1352"/>
      <c r="R17" s="705"/>
      <c r="S17" s="706"/>
      <c r="T17" s="705"/>
      <c r="U17" s="706"/>
      <c r="V17" s="705"/>
      <c r="W17" s="706"/>
      <c r="X17" s="1355"/>
      <c r="Y17" s="370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8"/>
      <c r="Q19" s="1352"/>
      <c r="R19" s="705"/>
      <c r="S19" s="706"/>
      <c r="T19" s="705"/>
      <c r="U19" s="706"/>
      <c r="V19" s="705"/>
      <c r="W19" s="706"/>
      <c r="X19" s="1355"/>
      <c r="Y19" s="370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8"/>
      <c r="Q15" s="1352"/>
      <c r="R15" s="705"/>
      <c r="S15" s="706"/>
      <c r="T15" s="705"/>
      <c r="U15" s="706"/>
      <c r="V15" s="705"/>
      <c r="W15" s="706"/>
      <c r="X15" s="1355"/>
      <c r="Y15" s="370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8"/>
      <c r="Q17" s="1352"/>
      <c r="R17" s="705"/>
      <c r="S17" s="706"/>
      <c r="T17" s="705"/>
      <c r="U17" s="706"/>
      <c r="V17" s="705"/>
      <c r="W17" s="706"/>
      <c r="X17" s="1355"/>
      <c r="Y17" s="370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8"/>
      <c r="Q19" s="1352"/>
      <c r="R19" s="705"/>
      <c r="S19" s="706"/>
      <c r="T19" s="705"/>
      <c r="U19" s="706"/>
      <c r="V19" s="705"/>
      <c r="W19" s="706"/>
      <c r="X19" s="1355"/>
      <c r="Y19" s="370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B16" zoomScale="85" zoomScaleNormal="80" zoomScaleSheetLayoutView="85" workbookViewId="0">
      <selection activeCell="K28" sqref="K2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25252.5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2157</v>
      </c>
      <c r="C2" s="1999" t="s">
        <v>1935</v>
      </c>
      <c r="D2" s="2000" t="s">
        <v>1936</v>
      </c>
      <c r="E2" s="3421"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1317</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854</v>
      </c>
      <c r="C3" s="1999" t="s">
        <v>1941</v>
      </c>
      <c r="D3" s="2000" t="s">
        <v>1942</v>
      </c>
      <c r="E3" s="3419" t="s">
        <v>2483</v>
      </c>
      <c r="F3" s="2004" t="s">
        <v>3407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1015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0"/>
      <c r="B4" s="3741"/>
      <c r="C4" s="3741"/>
      <c r="D4" s="3742"/>
      <c r="E4" s="3742"/>
      <c r="F4" s="3742"/>
      <c r="G4" s="3742"/>
      <c r="H4" s="3742"/>
      <c r="I4" s="3742"/>
      <c r="J4" s="374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828</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970</v>
      </c>
      <c r="D5" s="1339">
        <f>ROUND(C6*C17+C20,0)</f>
        <v>970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703</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640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37" t="s">
        <v>1960</v>
      </c>
      <c r="X8" s="373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60">
        <f t="shared" si="0"/>
        <v>0</v>
      </c>
      <c r="U9" s="1213"/>
      <c r="V9" s="3360">
        <f t="shared" si="1"/>
        <v>0</v>
      </c>
      <c r="W9" s="3739"/>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3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44" t="s">
        <v>3258</v>
      </c>
      <c r="B20" s="167" t="s">
        <v>1994</v>
      </c>
      <c r="C20" s="3324">
        <f>ROUND(IF(F21="与级别开发程度一致",0,(G21-E21)/C21),0)</f>
        <v>40</v>
      </c>
      <c r="D20" s="3340" t="s">
        <v>1998</v>
      </c>
      <c r="E20" s="3341"/>
      <c r="F20" s="3750" t="s">
        <v>1995</v>
      </c>
      <c r="G20" s="3751"/>
      <c r="H20" s="3325" t="s">
        <v>3388</v>
      </c>
      <c r="I20" s="3325" t="s">
        <v>3389</v>
      </c>
      <c r="J20" s="3326" t="s">
        <v>3390</v>
      </c>
      <c r="K20" s="2047" t="s">
        <v>3391</v>
      </c>
      <c r="L20" s="2047" t="s">
        <v>3392</v>
      </c>
      <c r="M20" s="2047" t="s">
        <v>3393</v>
      </c>
      <c r="N20" s="2047" t="s">
        <v>3439</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45"/>
      <c r="B21" s="2163" t="s">
        <v>1997</v>
      </c>
      <c r="C21" s="2164">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3451" t="s">
        <v>3438</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40</v>
      </c>
      <c r="N21" s="2164">
        <f>SUMPRODUCT((七通一平=N20)*(修正!B1:M1=G2)*(修正!B8:M16))</f>
        <v>10</v>
      </c>
      <c r="O21" s="2166">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45425</v>
      </c>
      <c r="H23" s="3342" t="s">
        <v>3260</v>
      </c>
      <c r="I23" s="3343" t="str">
        <f>IF(H23="季度增幅（自定义）",SUMIF(N25:N28,E2,O25:O28),"")</f>
        <v/>
      </c>
      <c r="J23" s="3445" t="s">
        <v>3259</v>
      </c>
      <c r="K23" s="1125"/>
      <c r="L23" s="2055" t="s">
        <v>2004</v>
      </c>
      <c r="M23" s="1328">
        <f>ROUND(SUMIF(地价!B2:G2,E2,地价!B16:G16),0)</f>
        <v>318</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0.80900000000000005</v>
      </c>
      <c r="D24" s="2060" t="s">
        <v>2007</v>
      </c>
      <c r="E24" s="1335">
        <f>存贷款利率!E24/100</f>
        <v>4.3499999999999997E-2</v>
      </c>
      <c r="F24" s="2060" t="s">
        <v>1999</v>
      </c>
      <c r="G24" s="768">
        <f>SUMIF(M30:Q30,E2,M33:Q33)</f>
        <v>0.05</v>
      </c>
      <c r="H24" s="2060" t="s">
        <v>2008</v>
      </c>
      <c r="I24" s="769">
        <f>SUMIF('数据-取费表'!C6:C15,E2,'数据-取费表'!F6:F15)/COUNTIF('数据-取费表'!C6:C15,E2)</f>
        <v>27.49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1.0132000000000001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0">
        <f>IF(B25="容积率修正",E33+SUM(E37:E42),SUM(V2:V16)+SUM(E37:E42))</f>
        <v>2157</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854</v>
      </c>
      <c r="D33" s="2098">
        <f>'数据-汇总表'!D3</f>
        <v>25252.5</v>
      </c>
      <c r="E33" s="773">
        <f>ROUND(C33*D33/10000,0)</f>
        <v>2157</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128</v>
      </c>
      <c r="D34" s="2103"/>
      <c r="E34" s="773">
        <f>ROUND(IF(B25="楼层修正",SUM(V2:V16)*M40,C34*D34/10000),0)</f>
        <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8"/>
      <c r="B37" s="2113" t="s">
        <v>2036</v>
      </c>
      <c r="C37" s="175">
        <f>ROUND(D5*C22*C23*C24*C28*F37,0)</f>
        <v>427</v>
      </c>
      <c r="D37" s="2098"/>
      <c r="E37" s="171">
        <f>ROUND(C37*D37/10000,0)</f>
        <v>0</v>
      </c>
      <c r="F37" s="171">
        <f>SUMIF(修正!A57:A68,G2,修正!B57:B68)</f>
        <v>0.5</v>
      </c>
      <c r="G37" s="171">
        <f>ROUND(IF(E2="工业",C37*$M$42,C37*$M$41),0)</f>
        <v>64</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9"/>
      <c r="B38" s="2041" t="s">
        <v>2037</v>
      </c>
      <c r="C38" s="175">
        <f>ROUND(D5*C22*C23*C24*C28*F38,0)</f>
        <v>171</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49"/>
      <c r="B39" s="2041" t="s">
        <v>3263</v>
      </c>
      <c r="C39" s="175">
        <f>ROUND(D5*C22*C23*C24*C28*F39,0)</f>
        <v>171</v>
      </c>
      <c r="D39" s="2098"/>
      <c r="E39" s="171">
        <f t="shared" si="4"/>
        <v>0</v>
      </c>
      <c r="F39" s="171">
        <f>SUMIF(修正!A57:A68,G2,修正!D57:D68)</f>
        <v>0.2</v>
      </c>
      <c r="G39" s="171">
        <f>ROUND(IF(E2="工业",C39*$M$42,C39*$M$41),0)</f>
        <v>26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171</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1.0132000000000001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3408</v>
      </c>
      <c r="D83" s="1065">
        <f t="shared" ref="D83:D90" si="22">SUMIF($J$82:$N$82,C83,J83:N83)</f>
        <v>6.4999999999999997E-3</v>
      </c>
      <c r="E83" s="744">
        <f>ROUND(SUM(D83:D90),4)</f>
        <v>1.32E-2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3274</v>
      </c>
      <c r="B85" s="2134">
        <f>估价对象房地状况!G17</f>
        <v>0</v>
      </c>
      <c r="C85" s="2044" t="s">
        <v>3408</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3409</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3408</v>
      </c>
      <c r="D88" s="1065">
        <f t="shared" si="22"/>
        <v>3.0000000000000001E-3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3409</v>
      </c>
      <c r="D89" s="1065">
        <f t="shared" si="22"/>
        <v>0</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3408</v>
      </c>
      <c r="D90" s="1065">
        <f t="shared" si="22"/>
        <v>1.1999999999999999E-3</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46" t="s">
        <v>3298</v>
      </c>
      <c r="B103" s="3746"/>
      <c r="C103" s="3746"/>
      <c r="D103" s="3746"/>
      <c r="E103" s="3746"/>
      <c r="F103" s="3746"/>
      <c r="G103" s="3746"/>
      <c r="H103" s="3746"/>
      <c r="I103" s="3746"/>
      <c r="J103" s="3746"/>
      <c r="K103" s="3389"/>
      <c r="L103" s="3389"/>
      <c r="M103" s="3389"/>
      <c r="N103" s="3389"/>
    </row>
    <row r="104" spans="1:14">
      <c r="A104" s="3747" t="s">
        <v>3299</v>
      </c>
      <c r="B104" s="3747" t="s">
        <v>3300</v>
      </c>
      <c r="C104" s="3390" t="s">
        <v>3301</v>
      </c>
      <c r="D104" s="3391"/>
      <c r="E104" s="3391"/>
      <c r="F104" s="3391"/>
      <c r="G104" s="3391"/>
      <c r="H104" s="3391"/>
      <c r="I104" s="3391"/>
      <c r="J104" s="3392"/>
      <c r="K104" s="3393"/>
      <c r="L104" s="3393"/>
      <c r="M104" s="3393"/>
      <c r="N104" s="3393"/>
    </row>
    <row r="105" spans="1:14">
      <c r="A105" s="3747"/>
      <c r="B105" s="3747"/>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33"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4"/>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36" t="s">
        <v>3315</v>
      </c>
      <c r="B113" s="3736"/>
      <c r="C113" s="3736"/>
      <c r="D113" s="3736"/>
      <c r="E113" s="3736"/>
      <c r="F113" s="3736"/>
      <c r="G113" s="3736"/>
      <c r="H113" s="3736"/>
      <c r="I113" s="3736"/>
      <c r="J113" s="373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0.57150000000000001</v>
      </c>
      <c r="E116" s="2000" t="s">
        <v>3318</v>
      </c>
      <c r="F116" s="3401" t="str">
        <f>E2</f>
        <v>工业</v>
      </c>
      <c r="G116" s="2000" t="s">
        <v>3319</v>
      </c>
      <c r="H116" s="3401" t="str">
        <f>G2</f>
        <v>九级</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3333</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3334</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50:H58 H61:H69 H72:H80 H83:H91">
    <cfRule type="cellIs" dxfId="38" priority="2" operator="notEqual">
      <formula>"——"</formula>
    </cfRule>
  </conditionalFormatting>
  <conditionalFormatting sqref="H93:H101">
    <cfRule type="cellIs" dxfId="3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8"/>
      <c r="M10" s="2719"/>
      <c r="N10" s="2719"/>
      <c r="O10" s="2772"/>
      <c r="P10" s="3705"/>
      <c r="Q10" s="1343" t="str">
        <f t="shared" si="6"/>
        <v>土地使用年限（年）</v>
      </c>
      <c r="R10" s="701" t="s">
        <v>14</v>
      </c>
      <c r="S10" s="702">
        <f t="shared" si="0"/>
        <v>124</v>
      </c>
      <c r="T10" s="701" t="s">
        <v>14</v>
      </c>
      <c r="U10" s="702">
        <f t="shared" si="1"/>
        <v>124</v>
      </c>
      <c r="V10" s="701" t="s">
        <v>14</v>
      </c>
      <c r="W10" s="702">
        <f t="shared" si="2"/>
        <v>124</v>
      </c>
      <c r="X10" s="703"/>
      <c r="Y10" s="3617"/>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5"/>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8"/>
      <c r="Q20" s="1352"/>
      <c r="R20" s="705"/>
      <c r="S20" s="706"/>
      <c r="T20" s="705"/>
      <c r="U20" s="706"/>
      <c r="V20" s="705"/>
      <c r="W20" s="706"/>
      <c r="X20" s="1355"/>
      <c r="Y20" s="370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8"/>
      <c r="Q24" s="1352"/>
      <c r="R24" s="705"/>
      <c r="S24" s="706"/>
      <c r="T24" s="705"/>
      <c r="U24" s="706"/>
      <c r="V24" s="705"/>
      <c r="W24" s="706"/>
      <c r="X24" s="1355"/>
      <c r="Y24" s="370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8"/>
      <c r="Q26" s="1352"/>
      <c r="R26" s="705"/>
      <c r="S26" s="706"/>
      <c r="T26" s="705"/>
      <c r="U26" s="706"/>
      <c r="V26" s="705"/>
      <c r="W26" s="706"/>
      <c r="X26" s="1355"/>
      <c r="Y26" s="370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8"/>
      <c r="Q28" s="1343"/>
      <c r="R28" s="701"/>
      <c r="S28" s="702"/>
      <c r="T28" s="701"/>
      <c r="U28" s="702"/>
      <c r="V28" s="701"/>
      <c r="W28" s="702"/>
      <c r="X28" s="703"/>
      <c r="Y28" s="370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8"/>
      <c r="Q30" s="1343"/>
      <c r="R30" s="701"/>
      <c r="S30" s="702"/>
      <c r="T30" s="701"/>
      <c r="U30" s="702"/>
      <c r="V30" s="701"/>
      <c r="W30" s="702"/>
      <c r="X30" s="703"/>
      <c r="Y30" s="370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8"/>
      <c r="Q33" s="1352"/>
      <c r="R33" s="705"/>
      <c r="S33" s="706"/>
      <c r="T33" s="705"/>
      <c r="U33" s="706"/>
      <c r="V33" s="705"/>
      <c r="W33" s="706"/>
      <c r="X33" s="1355"/>
      <c r="Y33" s="370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5" t="str">
        <f>A46</f>
        <v>成交单价</v>
      </c>
      <c r="Q46" s="3705"/>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05" t="str">
        <f>A47</f>
        <v>比较价值（元/平方米）</v>
      </c>
      <c r="Q47" s="3705"/>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2" t="str">
        <f>A48</f>
        <v>估价对象XX用房的比较价值（楼面单价，元/平方米）</v>
      </c>
      <c r="Q48" s="3703"/>
      <c r="R48" s="3753" t="e">
        <f>ROUND(IF(D47="简单平均",AVERAGE(R47:W47),R47*F47+T47*H47+V47*J47),0)</f>
        <v>#DIV/0!</v>
      </c>
      <c r="S48" s="3753"/>
      <c r="T48" s="3753"/>
      <c r="U48" s="3753"/>
      <c r="V48" s="3753"/>
      <c r="W48" s="375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8" t="s">
        <v>1887</v>
      </c>
      <c r="H55" s="375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8527.7800000000007</v>
      </c>
      <c r="F56" s="886" t="e">
        <f t="shared" ref="F56:F64" si="15">ROUND(B56*E56/10000,0)</f>
        <v>#DIV/0!</v>
      </c>
      <c r="G56" s="3687"/>
      <c r="H56" s="370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8527.7800000000007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8"/>
      <c r="M10" s="2719"/>
      <c r="N10" s="2719"/>
      <c r="O10" s="2772"/>
      <c r="P10" s="3705"/>
      <c r="Q10" s="1343" t="str">
        <f t="shared" si="6"/>
        <v>土地使用年限（年）</v>
      </c>
      <c r="R10" s="701" t="s">
        <v>14</v>
      </c>
      <c r="S10" s="702">
        <f t="shared" si="0"/>
        <v>124</v>
      </c>
      <c r="T10" s="701" t="s">
        <v>14</v>
      </c>
      <c r="U10" s="702">
        <f t="shared" si="1"/>
        <v>124</v>
      </c>
      <c r="V10" s="701" t="s">
        <v>14</v>
      </c>
      <c r="W10" s="702">
        <f t="shared" si="2"/>
        <v>124</v>
      </c>
      <c r="X10" s="703"/>
      <c r="Y10" s="3617"/>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8"/>
      <c r="Q20" s="1352"/>
      <c r="R20" s="705"/>
      <c r="S20" s="706"/>
      <c r="T20" s="705"/>
      <c r="U20" s="706"/>
      <c r="V20" s="705"/>
      <c r="W20" s="706"/>
      <c r="X20" s="1355"/>
      <c r="Y20" s="370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8"/>
      <c r="Q26" s="1343"/>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8"/>
      <c r="Q29" s="1352"/>
      <c r="R29" s="705"/>
      <c r="S29" s="706"/>
      <c r="T29" s="705"/>
      <c r="U29" s="706"/>
      <c r="V29" s="705"/>
      <c r="W29" s="706"/>
      <c r="X29" s="1355"/>
      <c r="Y29" s="370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5" t="str">
        <f>A41</f>
        <v>成交单价</v>
      </c>
      <c r="Q41" s="3705"/>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5" t="str">
        <f>A42</f>
        <v>比较价值（元/平方米）</v>
      </c>
      <c r="Q42" s="3705"/>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2" t="str">
        <f>A43</f>
        <v>估价对象XX用房的比较价值（楼面单价，元/平方米）</v>
      </c>
      <c r="Q43" s="3703"/>
      <c r="R43" s="3753" t="e">
        <f>ROUND(IF(D42="简单平均",AVERAGE(R42:W42),R42*F42+T42*H42+V42*J42),0)</f>
        <v>#DIV/0!</v>
      </c>
      <c r="S43" s="3753"/>
      <c r="T43" s="3753"/>
      <c r="U43" s="3753"/>
      <c r="V43" s="3753"/>
      <c r="W43" s="375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8" t="s">
        <v>1887</v>
      </c>
      <c r="H50" s="375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8527.7800000000007</v>
      </c>
      <c r="F51" s="639" t="e">
        <f t="shared" ref="F51:F60" si="15">ROUND(B51*E51/10000,0)</f>
        <v>#DIV/0!</v>
      </c>
      <c r="G51" s="3687"/>
      <c r="H51" s="370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25252.5</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2" t="s">
        <v>2084</v>
      </c>
      <c r="D1" s="3763"/>
      <c r="E1" s="3763"/>
      <c r="F1" s="3763"/>
      <c r="G1" s="3763"/>
      <c r="H1" s="3763"/>
      <c r="I1" s="3763"/>
      <c r="J1" s="3763"/>
      <c r="K1" s="3763"/>
      <c r="L1" s="3763"/>
      <c r="M1" s="3763"/>
      <c r="N1" s="3763"/>
      <c r="O1" s="3763"/>
      <c r="P1" s="3763"/>
      <c r="Q1" s="3763"/>
      <c r="R1" s="3763"/>
      <c r="S1" s="376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2157</v>
      </c>
      <c r="C2" s="2145" t="s">
        <v>2074</v>
      </c>
      <c r="D2" s="2145" t="s">
        <v>2075</v>
      </c>
      <c r="E2" s="2611">
        <f ca="1">SUMIF(E6:E13,"&lt;&gt;#ref!",E6:E13)</f>
        <v>25252.5</v>
      </c>
      <c r="F2" s="2792"/>
      <c r="G2" s="2792"/>
      <c r="H2" s="2792"/>
      <c r="I2" s="2792"/>
      <c r="J2" s="2792"/>
      <c r="K2" s="2792"/>
      <c r="L2" s="2792"/>
      <c r="M2" s="2792"/>
      <c r="N2" s="2792"/>
      <c r="O2" s="2792"/>
      <c r="P2" s="2792"/>
    </row>
    <row r="3" spans="1:16" ht="15.75">
      <c r="A3" s="2145" t="s">
        <v>2076</v>
      </c>
      <c r="B3" s="2601">
        <f ca="1">ROUND(B2*10000/E2,0)</f>
        <v>854</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2157</v>
      </c>
      <c r="C6" s="2145" t="s">
        <v>2074</v>
      </c>
      <c r="D6" s="2792"/>
      <c r="E6" s="2611">
        <f ca="1">SUMIF(INDIRECT("'"&amp;A6&amp;"'"&amp;"!C:C"),"建筑面积",INDIRECT("'"&amp;A6&amp;"'"&amp;"!D:D"))</f>
        <v>25252.5</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2" t="s">
        <v>2611</v>
      </c>
      <c r="B20" s="3765" t="s">
        <v>2632</v>
      </c>
      <c r="C20" s="3102" t="s">
        <v>2443</v>
      </c>
      <c r="D20" s="3103"/>
      <c r="E20" s="3104">
        <v>1</v>
      </c>
      <c r="F20" s="3105" t="s">
        <v>2444</v>
      </c>
      <c r="G20" s="3105"/>
    </row>
    <row r="21" spans="1:13" ht="19.5" customHeight="1">
      <c r="A21" s="3773"/>
      <c r="B21" s="3766"/>
      <c r="C21" s="3106" t="s">
        <v>2445</v>
      </c>
      <c r="D21" s="3107"/>
      <c r="E21" s="3108">
        <v>1</v>
      </c>
      <c r="F21" s="3105" t="s">
        <v>2446</v>
      </c>
      <c r="G21" s="3105"/>
    </row>
    <row r="22" spans="1:13" ht="19.5" customHeight="1">
      <c r="A22" s="3773"/>
      <c r="B22" s="3766"/>
      <c r="C22" s="3106" t="s">
        <v>2447</v>
      </c>
      <c r="D22" s="3107"/>
      <c r="E22" s="3108">
        <v>0.9</v>
      </c>
      <c r="F22" s="3105" t="s">
        <v>2448</v>
      </c>
      <c r="G22" s="3105"/>
    </row>
    <row r="23" spans="1:13" ht="19.5" customHeight="1">
      <c r="A23" s="3773"/>
      <c r="B23" s="3766"/>
      <c r="C23" s="3106" t="s">
        <v>2449</v>
      </c>
      <c r="D23" s="3107"/>
      <c r="E23" s="3108">
        <v>0.9</v>
      </c>
      <c r="F23" s="3105" t="s">
        <v>2450</v>
      </c>
      <c r="G23" s="3105"/>
    </row>
    <row r="24" spans="1:13" ht="19.5" customHeight="1">
      <c r="A24" s="3773"/>
      <c r="B24" s="3766"/>
      <c r="C24" s="3106" t="s">
        <v>2451</v>
      </c>
      <c r="D24" s="3107"/>
      <c r="E24" s="3108">
        <v>0.8</v>
      </c>
      <c r="F24" s="3105" t="s">
        <v>2452</v>
      </c>
      <c r="G24" s="3105"/>
    </row>
    <row r="25" spans="1:13" ht="19.5" customHeight="1" thickBot="1">
      <c r="A25" s="3774"/>
      <c r="B25" s="376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8" t="s">
        <v>2635</v>
      </c>
      <c r="B27" s="3765" t="s">
        <v>2616</v>
      </c>
      <c r="C27" s="3102" t="s">
        <v>2456</v>
      </c>
      <c r="D27" s="3103"/>
      <c r="E27" s="3104">
        <v>1</v>
      </c>
      <c r="F27" s="3105" t="s">
        <v>2457</v>
      </c>
      <c r="G27" s="3105"/>
    </row>
    <row r="28" spans="1:13" ht="19.5" customHeight="1">
      <c r="A28" s="3769"/>
      <c r="B28" s="3766"/>
      <c r="C28" s="3106" t="s">
        <v>2458</v>
      </c>
      <c r="D28" s="3107"/>
      <c r="E28" s="3108">
        <v>1</v>
      </c>
      <c r="F28" s="3105" t="s">
        <v>2459</v>
      </c>
      <c r="G28" s="3105"/>
    </row>
    <row r="29" spans="1:13" ht="19.5" customHeight="1">
      <c r="A29" s="3769"/>
      <c r="B29" s="3766"/>
      <c r="C29" s="3106" t="s">
        <v>2460</v>
      </c>
      <c r="D29" s="3107"/>
      <c r="E29" s="3108">
        <v>0.8</v>
      </c>
      <c r="F29" s="3105" t="s">
        <v>2461</v>
      </c>
      <c r="G29" s="3105"/>
    </row>
    <row r="30" spans="1:13" ht="19.5" customHeight="1">
      <c r="A30" s="3769"/>
      <c r="B30" s="3766"/>
      <c r="C30" s="3106" t="s">
        <v>2462</v>
      </c>
      <c r="D30" s="3107"/>
      <c r="E30" s="3108">
        <v>0.8</v>
      </c>
      <c r="F30" s="3105" t="s">
        <v>2463</v>
      </c>
      <c r="G30" s="3105"/>
    </row>
    <row r="31" spans="1:13" ht="19.5" customHeight="1">
      <c r="A31" s="3769"/>
      <c r="B31" s="3766"/>
      <c r="C31" s="3106" t="s">
        <v>2464</v>
      </c>
      <c r="D31" s="3107"/>
      <c r="E31" s="3108">
        <v>0.8</v>
      </c>
      <c r="F31" s="3105" t="s">
        <v>2465</v>
      </c>
      <c r="G31" s="3105"/>
    </row>
    <row r="32" spans="1:13" ht="19.5" customHeight="1">
      <c r="A32" s="3769"/>
      <c r="B32" s="3766"/>
      <c r="C32" s="3106" t="s">
        <v>2466</v>
      </c>
      <c r="D32" s="3107"/>
      <c r="E32" s="3108">
        <v>0.7</v>
      </c>
      <c r="F32" s="3105" t="s">
        <v>2467</v>
      </c>
      <c r="G32" s="3105"/>
    </row>
    <row r="33" spans="1:7" ht="19.5" customHeight="1">
      <c r="A33" s="3769"/>
      <c r="B33" s="3766"/>
      <c r="C33" s="3106" t="s">
        <v>2468</v>
      </c>
      <c r="D33" s="3107"/>
      <c r="E33" s="3108">
        <v>0.8</v>
      </c>
      <c r="F33" s="3105" t="s">
        <v>2469</v>
      </c>
      <c r="G33" s="3105"/>
    </row>
    <row r="34" spans="1:7" ht="19.5" customHeight="1">
      <c r="A34" s="3769"/>
      <c r="B34" s="3766"/>
      <c r="C34" s="3106" t="s">
        <v>2470</v>
      </c>
      <c r="D34" s="3107"/>
      <c r="E34" s="3108">
        <v>0.6</v>
      </c>
      <c r="F34" s="3105" t="s">
        <v>2471</v>
      </c>
      <c r="G34" s="3105"/>
    </row>
    <row r="35" spans="1:7" ht="19.5" customHeight="1">
      <c r="A35" s="3769"/>
      <c r="B35" s="3766"/>
      <c r="C35" s="3106" t="s">
        <v>2472</v>
      </c>
      <c r="D35" s="3107"/>
      <c r="E35" s="3108">
        <v>0.2</v>
      </c>
      <c r="F35" s="3105" t="s">
        <v>2473</v>
      </c>
      <c r="G35" s="3105"/>
    </row>
    <row r="36" spans="1:7" ht="19.5" customHeight="1">
      <c r="A36" s="3769"/>
      <c r="B36" s="3766"/>
      <c r="C36" s="3106" t="s">
        <v>2474</v>
      </c>
      <c r="D36" s="3107"/>
      <c r="E36" s="3108">
        <v>0.2</v>
      </c>
      <c r="F36" s="3105" t="s">
        <v>2475</v>
      </c>
      <c r="G36" s="3105"/>
    </row>
    <row r="37" spans="1:7" ht="19.5" customHeight="1">
      <c r="A37" s="3769"/>
      <c r="B37" s="3771" t="s">
        <v>2636</v>
      </c>
      <c r="C37" s="3106" t="s">
        <v>2476</v>
      </c>
      <c r="D37" s="3107"/>
      <c r="E37" s="3108">
        <v>0.6</v>
      </c>
      <c r="F37" s="3105" t="s">
        <v>2477</v>
      </c>
      <c r="G37" s="3105"/>
    </row>
    <row r="38" spans="1:7" ht="19.5" customHeight="1">
      <c r="A38" s="3769"/>
      <c r="B38" s="3766"/>
      <c r="C38" s="3106" t="s">
        <v>2478</v>
      </c>
      <c r="D38" s="3107"/>
      <c r="E38" s="3108">
        <v>0.6</v>
      </c>
      <c r="F38" s="3105" t="s">
        <v>2479</v>
      </c>
      <c r="G38" s="3105"/>
    </row>
    <row r="39" spans="1:7" ht="19.5" customHeight="1" thickBot="1">
      <c r="A39" s="3770"/>
      <c r="B39" s="376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2" t="s">
        <v>2614</v>
      </c>
      <c r="B41" s="3765" t="s">
        <v>2638</v>
      </c>
      <c r="C41" s="3102" t="s">
        <v>2483</v>
      </c>
      <c r="D41" s="3103"/>
      <c r="E41" s="3104">
        <v>1</v>
      </c>
      <c r="F41" s="3105" t="s">
        <v>2484</v>
      </c>
      <c r="G41" s="3105"/>
    </row>
    <row r="42" spans="1:7" ht="19.5" customHeight="1">
      <c r="A42" s="3773"/>
      <c r="B42" s="3766"/>
      <c r="C42" s="3106" t="s">
        <v>2485</v>
      </c>
      <c r="D42" s="3107"/>
      <c r="E42" s="3108">
        <v>1</v>
      </c>
      <c r="F42" s="3105" t="s">
        <v>2486</v>
      </c>
      <c r="G42" s="3105"/>
    </row>
    <row r="43" spans="1:7" ht="19.5" customHeight="1">
      <c r="A43" s="3773"/>
      <c r="B43" s="3775"/>
      <c r="C43" s="3106" t="s">
        <v>2487</v>
      </c>
      <c r="D43" s="3107"/>
      <c r="E43" s="3108">
        <v>1.5</v>
      </c>
      <c r="F43" s="3105" t="s">
        <v>2488</v>
      </c>
      <c r="G43" s="3105"/>
    </row>
    <row r="44" spans="1:7" ht="19.5" customHeight="1">
      <c r="A44" s="3773"/>
      <c r="B44" s="3117" t="s">
        <v>2639</v>
      </c>
      <c r="C44" s="3106" t="s">
        <v>2640</v>
      </c>
      <c r="D44" s="3107"/>
      <c r="E44" s="3108">
        <v>2</v>
      </c>
      <c r="F44" s="3105" t="s">
        <v>2489</v>
      </c>
      <c r="G44" s="3105"/>
    </row>
    <row r="45" spans="1:7" ht="19.5" customHeight="1">
      <c r="A45" s="3773"/>
      <c r="B45" s="3771" t="s">
        <v>2641</v>
      </c>
      <c r="C45" s="3106" t="s">
        <v>2490</v>
      </c>
      <c r="D45" s="3107"/>
      <c r="E45" s="3108">
        <v>1</v>
      </c>
      <c r="F45" s="3105" t="s">
        <v>2491</v>
      </c>
      <c r="G45" s="3105"/>
    </row>
    <row r="46" spans="1:7" ht="19.5" customHeight="1">
      <c r="A46" s="3773"/>
      <c r="B46" s="3766"/>
      <c r="C46" s="3106" t="s">
        <v>2492</v>
      </c>
      <c r="D46" s="3107"/>
      <c r="E46" s="3108">
        <v>1</v>
      </c>
      <c r="F46" s="3105" t="s">
        <v>2493</v>
      </c>
      <c r="G46" s="3105"/>
    </row>
    <row r="47" spans="1:7" ht="19.5" customHeight="1">
      <c r="A47" s="3773"/>
      <c r="B47" s="3766"/>
      <c r="C47" s="3106" t="s">
        <v>2494</v>
      </c>
      <c r="D47" s="3107"/>
      <c r="E47" s="3108">
        <v>1</v>
      </c>
      <c r="F47" s="3105" t="s">
        <v>2495</v>
      </c>
      <c r="G47" s="3105"/>
    </row>
    <row r="48" spans="1:7" ht="19.5" customHeight="1">
      <c r="A48" s="3773"/>
      <c r="B48" s="3766"/>
      <c r="C48" s="3106" t="s">
        <v>2496</v>
      </c>
      <c r="D48" s="3107"/>
      <c r="E48" s="3108">
        <v>1</v>
      </c>
      <c r="F48" s="3105" t="s">
        <v>2497</v>
      </c>
      <c r="G48" s="3105"/>
    </row>
    <row r="49" spans="1:7" ht="19.5" customHeight="1">
      <c r="A49" s="3773"/>
      <c r="B49" s="3766"/>
      <c r="C49" s="3106" t="s">
        <v>2498</v>
      </c>
      <c r="D49" s="3107"/>
      <c r="E49" s="3108">
        <v>1</v>
      </c>
      <c r="F49" s="3105" t="s">
        <v>2499</v>
      </c>
      <c r="G49" s="3105"/>
    </row>
    <row r="50" spans="1:7" ht="19.5" customHeight="1">
      <c r="A50" s="3773"/>
      <c r="B50" s="3766"/>
      <c r="C50" s="3106" t="s">
        <v>2500</v>
      </c>
      <c r="D50" s="3107"/>
      <c r="E50" s="3108">
        <v>1</v>
      </c>
      <c r="F50" s="3105" t="s">
        <v>2501</v>
      </c>
      <c r="G50" s="3105"/>
    </row>
    <row r="51" spans="1:7" ht="19.5" customHeight="1" thickBot="1">
      <c r="A51" s="3774"/>
      <c r="B51" s="376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1" t="s">
        <v>2655</v>
      </c>
      <c r="C73" s="3091" t="s">
        <v>2656</v>
      </c>
      <c r="D73" s="3091" t="s">
        <v>2657</v>
      </c>
      <c r="E73" s="3117">
        <v>0.2</v>
      </c>
      <c r="F73" s="3117">
        <v>25</v>
      </c>
    </row>
    <row r="74" spans="1:7" ht="24">
      <c r="A74" s="3117">
        <v>2</v>
      </c>
      <c r="B74" s="3766"/>
      <c r="C74" s="3091" t="s">
        <v>2658</v>
      </c>
      <c r="D74" s="3091" t="s">
        <v>2659</v>
      </c>
      <c r="E74" s="3117">
        <v>0.2</v>
      </c>
      <c r="F74" s="3117">
        <v>25</v>
      </c>
    </row>
    <row r="75" spans="1:7" ht="24">
      <c r="A75" s="3117">
        <v>3</v>
      </c>
      <c r="B75" s="3766"/>
      <c r="C75" s="3091" t="s">
        <v>2660</v>
      </c>
      <c r="D75" s="3091" t="s">
        <v>2661</v>
      </c>
      <c r="E75" s="3117">
        <v>0.2</v>
      </c>
      <c r="F75" s="3117">
        <v>25</v>
      </c>
    </row>
    <row r="76" spans="1:7" ht="13.5">
      <c r="A76" s="3117">
        <v>4</v>
      </c>
      <c r="B76" s="3766"/>
      <c r="C76" s="3091" t="s">
        <v>2662</v>
      </c>
      <c r="D76" s="3091" t="s">
        <v>2663</v>
      </c>
      <c r="E76" s="3117">
        <v>0.15</v>
      </c>
      <c r="F76" s="3117">
        <v>20</v>
      </c>
    </row>
    <row r="77" spans="1:7" ht="24">
      <c r="A77" s="3117">
        <v>5</v>
      </c>
      <c r="B77" s="3766"/>
      <c r="C77" s="3091" t="s">
        <v>2664</v>
      </c>
      <c r="D77" s="3091" t="s">
        <v>2665</v>
      </c>
      <c r="E77" s="3117">
        <v>0.15</v>
      </c>
      <c r="F77" s="3117">
        <v>20</v>
      </c>
    </row>
    <row r="78" spans="1:7" ht="24">
      <c r="A78" s="3117">
        <v>6</v>
      </c>
      <c r="B78" s="3766"/>
      <c r="C78" s="3091" t="s">
        <v>2666</v>
      </c>
      <c r="D78" s="3091" t="s">
        <v>2667</v>
      </c>
      <c r="E78" s="3117">
        <v>0.15</v>
      </c>
      <c r="F78" s="3117">
        <v>20</v>
      </c>
    </row>
    <row r="79" spans="1:7" ht="24">
      <c r="A79" s="3117">
        <v>7</v>
      </c>
      <c r="B79" s="3766"/>
      <c r="C79" s="3091" t="s">
        <v>2668</v>
      </c>
      <c r="D79" s="3091" t="s">
        <v>2669</v>
      </c>
      <c r="E79" s="3117">
        <v>0.15</v>
      </c>
      <c r="F79" s="3117">
        <v>20</v>
      </c>
    </row>
    <row r="80" spans="1:7" ht="24">
      <c r="A80" s="3117">
        <v>8</v>
      </c>
      <c r="B80" s="3766"/>
      <c r="C80" s="3091" t="s">
        <v>2670</v>
      </c>
      <c r="D80" s="3091" t="s">
        <v>2671</v>
      </c>
      <c r="E80" s="3117">
        <v>0.1</v>
      </c>
      <c r="F80" s="3117">
        <v>15</v>
      </c>
    </row>
    <row r="81" spans="1:6" ht="24">
      <c r="A81" s="3117">
        <v>9</v>
      </c>
      <c r="B81" s="3766"/>
      <c r="C81" s="3091" t="s">
        <v>2672</v>
      </c>
      <c r="D81" s="3091" t="s">
        <v>2673</v>
      </c>
      <c r="E81" s="3117">
        <v>0.1</v>
      </c>
      <c r="F81" s="3117">
        <v>15</v>
      </c>
    </row>
    <row r="82" spans="1:6" ht="24">
      <c r="A82" s="3117">
        <v>10</v>
      </c>
      <c r="B82" s="3766"/>
      <c r="C82" s="3091" t="s">
        <v>2674</v>
      </c>
      <c r="D82" s="3091" t="s">
        <v>2675</v>
      </c>
      <c r="E82" s="3117">
        <v>0.1</v>
      </c>
      <c r="F82" s="3117">
        <v>15</v>
      </c>
    </row>
    <row r="83" spans="1:6" ht="24">
      <c r="A83" s="3117">
        <v>11</v>
      </c>
      <c r="B83" s="3766"/>
      <c r="C83" s="3091" t="s">
        <v>2676</v>
      </c>
      <c r="D83" s="3091" t="s">
        <v>2677</v>
      </c>
      <c r="E83" s="3117">
        <v>0.1</v>
      </c>
      <c r="F83" s="3117">
        <v>15</v>
      </c>
    </row>
    <row r="84" spans="1:6" ht="24">
      <c r="A84" s="3117">
        <v>12</v>
      </c>
      <c r="B84" s="3766"/>
      <c r="C84" s="3091" t="s">
        <v>2678</v>
      </c>
      <c r="D84" s="3091" t="s">
        <v>2679</v>
      </c>
      <c r="E84" s="3117">
        <v>0.1</v>
      </c>
      <c r="F84" s="3117">
        <v>15</v>
      </c>
    </row>
    <row r="85" spans="1:6" ht="13.5">
      <c r="A85" s="3117">
        <v>13</v>
      </c>
      <c r="B85" s="3766"/>
      <c r="C85" s="3091" t="s">
        <v>2680</v>
      </c>
      <c r="D85" s="3091" t="s">
        <v>2681</v>
      </c>
      <c r="E85" s="3117">
        <v>0.1</v>
      </c>
      <c r="F85" s="3117">
        <v>15</v>
      </c>
    </row>
    <row r="86" spans="1:6" ht="13.5">
      <c r="A86" s="3117">
        <v>14</v>
      </c>
      <c r="B86" s="3766"/>
      <c r="C86" s="3091" t="s">
        <v>2682</v>
      </c>
      <c r="D86" s="3091" t="s">
        <v>2683</v>
      </c>
      <c r="E86" s="3117">
        <v>0.1</v>
      </c>
      <c r="F86" s="3117">
        <v>15</v>
      </c>
    </row>
    <row r="87" spans="1:6" ht="13.5">
      <c r="A87" s="3117">
        <v>15</v>
      </c>
      <c r="B87" s="3766"/>
      <c r="C87" s="3091" t="s">
        <v>2684</v>
      </c>
      <c r="D87" s="3091" t="s">
        <v>2685</v>
      </c>
      <c r="E87" s="3117">
        <v>0.1</v>
      </c>
      <c r="F87" s="3117">
        <v>15</v>
      </c>
    </row>
    <row r="88" spans="1:6" ht="24">
      <c r="A88" s="3117">
        <v>16</v>
      </c>
      <c r="B88" s="3766"/>
      <c r="C88" s="3091" t="s">
        <v>2686</v>
      </c>
      <c r="D88" s="3091" t="s">
        <v>2687</v>
      </c>
      <c r="E88" s="3117">
        <v>0.1</v>
      </c>
      <c r="F88" s="3117">
        <v>15</v>
      </c>
    </row>
    <row r="89" spans="1:6" ht="24">
      <c r="A89" s="3117">
        <v>17</v>
      </c>
      <c r="B89" s="3775"/>
      <c r="C89" s="3091" t="s">
        <v>2688</v>
      </c>
      <c r="D89" s="3091" t="s">
        <v>2689</v>
      </c>
      <c r="E89" s="3117">
        <v>0.1</v>
      </c>
      <c r="F89" s="3117">
        <v>15</v>
      </c>
    </row>
    <row r="90" spans="1:6" ht="13.5">
      <c r="A90" s="3117">
        <v>18</v>
      </c>
      <c r="B90" s="3771" t="s">
        <v>2690</v>
      </c>
      <c r="C90" s="3091" t="s">
        <v>2691</v>
      </c>
      <c r="D90" s="3091" t="s">
        <v>2692</v>
      </c>
      <c r="E90" s="3117">
        <v>0.2</v>
      </c>
      <c r="F90" s="3117">
        <v>25</v>
      </c>
    </row>
    <row r="91" spans="1:6" ht="24">
      <c r="A91" s="3117">
        <v>19</v>
      </c>
      <c r="B91" s="3766"/>
      <c r="C91" s="3091" t="s">
        <v>2693</v>
      </c>
      <c r="D91" s="3091" t="s">
        <v>2694</v>
      </c>
      <c r="E91" s="3117">
        <v>0.2</v>
      </c>
      <c r="F91" s="3117">
        <v>25</v>
      </c>
    </row>
    <row r="92" spans="1:6" ht="13.5">
      <c r="A92" s="3117">
        <v>20</v>
      </c>
      <c r="B92" s="3766"/>
      <c r="C92" s="3091" t="s">
        <v>2695</v>
      </c>
      <c r="D92" s="3091" t="s">
        <v>2696</v>
      </c>
      <c r="E92" s="3117">
        <v>0.15</v>
      </c>
      <c r="F92" s="3117">
        <v>20</v>
      </c>
    </row>
    <row r="93" spans="1:6" ht="13.5">
      <c r="A93" s="3117">
        <v>21</v>
      </c>
      <c r="B93" s="3766"/>
      <c r="C93" s="3091" t="s">
        <v>2697</v>
      </c>
      <c r="D93" s="3091" t="s">
        <v>2698</v>
      </c>
      <c r="E93" s="3117">
        <v>0.15</v>
      </c>
      <c r="F93" s="3117">
        <v>20</v>
      </c>
    </row>
    <row r="94" spans="1:6" ht="13.5">
      <c r="A94" s="3117">
        <v>22</v>
      </c>
      <c r="B94" s="3766"/>
      <c r="C94" s="3091" t="s">
        <v>2699</v>
      </c>
      <c r="D94" s="3091" t="s">
        <v>2700</v>
      </c>
      <c r="E94" s="3117">
        <v>0.15</v>
      </c>
      <c r="F94" s="3117">
        <v>20</v>
      </c>
    </row>
    <row r="95" spans="1:6" ht="36">
      <c r="A95" s="3117">
        <v>23</v>
      </c>
      <c r="B95" s="3766"/>
      <c r="C95" s="3091" t="s">
        <v>2701</v>
      </c>
      <c r="D95" s="3091" t="s">
        <v>2702</v>
      </c>
      <c r="E95" s="3117">
        <v>0.15</v>
      </c>
      <c r="F95" s="3117">
        <v>20</v>
      </c>
    </row>
    <row r="96" spans="1:6" ht="13.5">
      <c r="A96" s="3117">
        <v>24</v>
      </c>
      <c r="B96" s="3766"/>
      <c r="C96" s="3091" t="s">
        <v>2703</v>
      </c>
      <c r="D96" s="3091" t="s">
        <v>2704</v>
      </c>
      <c r="E96" s="3117">
        <v>0.1</v>
      </c>
      <c r="F96" s="3117">
        <v>15</v>
      </c>
    </row>
    <row r="97" spans="1:6" ht="13.5">
      <c r="A97" s="3117">
        <v>25</v>
      </c>
      <c r="B97" s="3766"/>
      <c r="C97" s="3091" t="s">
        <v>2705</v>
      </c>
      <c r="D97" s="3091" t="s">
        <v>2706</v>
      </c>
      <c r="E97" s="3117">
        <v>0.1</v>
      </c>
      <c r="F97" s="3117">
        <v>15</v>
      </c>
    </row>
    <row r="98" spans="1:6" ht="24">
      <c r="A98" s="3117">
        <v>26</v>
      </c>
      <c r="B98" s="3766"/>
      <c r="C98" s="3091" t="s">
        <v>2707</v>
      </c>
      <c r="D98" s="3091" t="s">
        <v>2708</v>
      </c>
      <c r="E98" s="3117">
        <v>0.1</v>
      </c>
      <c r="F98" s="3117">
        <v>15</v>
      </c>
    </row>
    <row r="99" spans="1:6" ht="24">
      <c r="A99" s="3117">
        <v>27</v>
      </c>
      <c r="B99" s="3766"/>
      <c r="C99" s="3091" t="s">
        <v>2709</v>
      </c>
      <c r="D99" s="3091" t="s">
        <v>2710</v>
      </c>
      <c r="E99" s="3117">
        <v>0.1</v>
      </c>
      <c r="F99" s="3117">
        <v>15</v>
      </c>
    </row>
    <row r="100" spans="1:6" ht="13.5">
      <c r="A100" s="3117">
        <v>28</v>
      </c>
      <c r="B100" s="3766"/>
      <c r="C100" s="3091" t="s">
        <v>2711</v>
      </c>
      <c r="D100" s="3091" t="s">
        <v>2712</v>
      </c>
      <c r="E100" s="3117">
        <v>0.1</v>
      </c>
      <c r="F100" s="3117">
        <v>15</v>
      </c>
    </row>
    <row r="101" spans="1:6" ht="13.5">
      <c r="A101" s="3117">
        <v>29</v>
      </c>
      <c r="B101" s="3766"/>
      <c r="C101" s="3091" t="s">
        <v>2713</v>
      </c>
      <c r="D101" s="3091" t="s">
        <v>2714</v>
      </c>
      <c r="E101" s="3117">
        <v>0.1</v>
      </c>
      <c r="F101" s="3117">
        <v>15</v>
      </c>
    </row>
    <row r="102" spans="1:6" ht="13.5">
      <c r="A102" s="3117">
        <v>30</v>
      </c>
      <c r="B102" s="3766"/>
      <c r="C102" s="3091" t="s">
        <v>2715</v>
      </c>
      <c r="D102" s="3091" t="s">
        <v>2716</v>
      </c>
      <c r="E102" s="3117">
        <v>0.1</v>
      </c>
      <c r="F102" s="3117">
        <v>15</v>
      </c>
    </row>
    <row r="103" spans="1:6" ht="24">
      <c r="A103" s="3117">
        <v>31</v>
      </c>
      <c r="B103" s="3766"/>
      <c r="C103" s="3091" t="s">
        <v>2717</v>
      </c>
      <c r="D103" s="3091" t="s">
        <v>2718</v>
      </c>
      <c r="E103" s="3117">
        <v>0.1</v>
      </c>
      <c r="F103" s="3117">
        <v>15</v>
      </c>
    </row>
    <row r="104" spans="1:6" ht="24">
      <c r="A104" s="3117">
        <v>32</v>
      </c>
      <c r="B104" s="3766"/>
      <c r="C104" s="3091" t="s">
        <v>2719</v>
      </c>
      <c r="D104" s="3091" t="s">
        <v>2720</v>
      </c>
      <c r="E104" s="3117">
        <v>0.1</v>
      </c>
      <c r="F104" s="3117">
        <v>15</v>
      </c>
    </row>
    <row r="105" spans="1:6" ht="24">
      <c r="A105" s="3117">
        <v>33</v>
      </c>
      <c r="B105" s="3766"/>
      <c r="C105" s="3091" t="s">
        <v>2721</v>
      </c>
      <c r="D105" s="3091" t="s">
        <v>2722</v>
      </c>
      <c r="E105" s="3117">
        <v>0.1</v>
      </c>
      <c r="F105" s="3117">
        <v>15</v>
      </c>
    </row>
    <row r="106" spans="1:6" ht="24">
      <c r="A106" s="3117">
        <v>34</v>
      </c>
      <c r="B106" s="3775"/>
      <c r="C106" s="3091" t="s">
        <v>2723</v>
      </c>
      <c r="D106" s="3091" t="s">
        <v>2724</v>
      </c>
      <c r="E106" s="3117">
        <v>0.1</v>
      </c>
      <c r="F106" s="3117">
        <v>15</v>
      </c>
    </row>
    <row r="107" spans="1:6" ht="24">
      <c r="A107" s="3117">
        <v>35</v>
      </c>
      <c r="B107" s="3771" t="s">
        <v>2725</v>
      </c>
      <c r="C107" s="3117" t="s">
        <v>2726</v>
      </c>
      <c r="D107" s="3091" t="s">
        <v>2727</v>
      </c>
      <c r="E107" s="3117">
        <v>0.15</v>
      </c>
      <c r="F107" s="3117">
        <v>20</v>
      </c>
    </row>
    <row r="108" spans="1:6" ht="13.5">
      <c r="A108" s="3117">
        <v>36</v>
      </c>
      <c r="B108" s="3766"/>
      <c r="C108" s="3117" t="s">
        <v>2728</v>
      </c>
      <c r="D108" s="3091" t="s">
        <v>2729</v>
      </c>
      <c r="E108" s="3117">
        <v>0.15</v>
      </c>
      <c r="F108" s="3117">
        <v>20</v>
      </c>
    </row>
    <row r="109" spans="1:6" ht="13.5">
      <c r="A109" s="3117">
        <v>37</v>
      </c>
      <c r="B109" s="3766"/>
      <c r="C109" s="3117" t="s">
        <v>2730</v>
      </c>
      <c r="D109" s="3091" t="s">
        <v>2731</v>
      </c>
      <c r="E109" s="3117">
        <v>0.15</v>
      </c>
      <c r="F109" s="3117">
        <v>20</v>
      </c>
    </row>
    <row r="110" spans="1:6" ht="13.5">
      <c r="A110" s="3117">
        <v>38</v>
      </c>
      <c r="B110" s="3766"/>
      <c r="C110" s="3117" t="s">
        <v>2732</v>
      </c>
      <c r="D110" s="3091" t="s">
        <v>2733</v>
      </c>
      <c r="E110" s="3117">
        <v>0.1</v>
      </c>
      <c r="F110" s="3117">
        <v>15</v>
      </c>
    </row>
    <row r="111" spans="1:6" ht="24">
      <c r="A111" s="3117">
        <v>39</v>
      </c>
      <c r="B111" s="3766"/>
      <c r="C111" s="3117" t="s">
        <v>2734</v>
      </c>
      <c r="D111" s="3091" t="s">
        <v>2735</v>
      </c>
      <c r="E111" s="3117">
        <v>0.1</v>
      </c>
      <c r="F111" s="3117">
        <v>15</v>
      </c>
    </row>
    <row r="112" spans="1:6" ht="24">
      <c r="A112" s="3117">
        <v>40</v>
      </c>
      <c r="B112" s="3775"/>
      <c r="C112" s="3117" t="s">
        <v>2736</v>
      </c>
      <c r="D112" s="3091" t="s">
        <v>2737</v>
      </c>
      <c r="E112" s="3117">
        <v>0.1</v>
      </c>
      <c r="F112" s="3117">
        <v>15</v>
      </c>
    </row>
    <row r="113" spans="1:6" ht="13.5">
      <c r="A113" s="3117">
        <v>41</v>
      </c>
      <c r="B113" s="3776" t="s">
        <v>2738</v>
      </c>
      <c r="C113" s="3117" t="s">
        <v>2739</v>
      </c>
      <c r="D113" s="3091" t="s">
        <v>2740</v>
      </c>
      <c r="E113" s="3117">
        <v>0.1</v>
      </c>
      <c r="F113" s="3117">
        <v>15</v>
      </c>
    </row>
    <row r="114" spans="1:6" ht="13.5">
      <c r="A114" s="3117">
        <v>42</v>
      </c>
      <c r="B114" s="3776"/>
      <c r="C114" s="3117" t="s">
        <v>2741</v>
      </c>
      <c r="D114" s="3091" t="s">
        <v>2742</v>
      </c>
      <c r="E114" s="3117">
        <v>0.1</v>
      </c>
      <c r="F114" s="3117">
        <v>15</v>
      </c>
    </row>
    <row r="115" spans="1:6" ht="24">
      <c r="A115" s="3117">
        <v>43</v>
      </c>
      <c r="B115" s="3776"/>
      <c r="C115" s="3117" t="s">
        <v>2743</v>
      </c>
      <c r="D115" s="3091" t="s">
        <v>2744</v>
      </c>
      <c r="E115" s="3117">
        <v>0.1</v>
      </c>
      <c r="F115" s="3117">
        <v>15</v>
      </c>
    </row>
    <row r="116" spans="1:6" ht="13.5">
      <c r="A116" s="3117">
        <v>44</v>
      </c>
      <c r="B116" s="3771" t="s">
        <v>2745</v>
      </c>
      <c r="C116" s="3117" t="s">
        <v>2746</v>
      </c>
      <c r="D116" s="3091" t="s">
        <v>2747</v>
      </c>
      <c r="E116" s="3117">
        <v>0.1</v>
      </c>
      <c r="F116" s="3117">
        <v>15</v>
      </c>
    </row>
    <row r="117" spans="1:6" ht="24">
      <c r="A117" s="3117">
        <v>45</v>
      </c>
      <c r="B117" s="3775"/>
      <c r="C117" s="3091" t="s">
        <v>2748</v>
      </c>
      <c r="D117" s="3091" t="s">
        <v>2749</v>
      </c>
      <c r="E117" s="3117">
        <v>0.1</v>
      </c>
      <c r="F117" s="3117">
        <v>15</v>
      </c>
    </row>
    <row r="118" spans="1:6" ht="24">
      <c r="A118" s="3117">
        <v>46</v>
      </c>
      <c r="B118" s="3771" t="s">
        <v>2750</v>
      </c>
      <c r="C118" s="3117" t="s">
        <v>2751</v>
      </c>
      <c r="D118" s="3091" t="s">
        <v>2752</v>
      </c>
      <c r="E118" s="3117">
        <v>0.1</v>
      </c>
      <c r="F118" s="3117">
        <v>15</v>
      </c>
    </row>
    <row r="119" spans="1:6" ht="24">
      <c r="A119" s="3117">
        <v>47</v>
      </c>
      <c r="B119" s="3775"/>
      <c r="C119" s="3117" t="s">
        <v>2753</v>
      </c>
      <c r="D119" s="3091" t="s">
        <v>2754</v>
      </c>
      <c r="E119" s="3117">
        <v>0.1</v>
      </c>
      <c r="F119" s="3117">
        <v>15</v>
      </c>
    </row>
    <row r="120" spans="1:6" ht="13.5">
      <c r="A120" s="3117">
        <v>48</v>
      </c>
      <c r="B120" s="3771" t="s">
        <v>2755</v>
      </c>
      <c r="C120" s="3117" t="s">
        <v>2756</v>
      </c>
      <c r="D120" s="3091" t="s">
        <v>2757</v>
      </c>
      <c r="E120" s="3117">
        <v>0.1</v>
      </c>
      <c r="F120" s="3117">
        <v>15</v>
      </c>
    </row>
    <row r="121" spans="1:6" ht="13.5">
      <c r="A121" s="3117">
        <v>49</v>
      </c>
      <c r="B121" s="3775"/>
      <c r="C121" s="3117" t="s">
        <v>2758</v>
      </c>
      <c r="D121" s="3091" t="s">
        <v>2759</v>
      </c>
      <c r="E121" s="3117">
        <v>0.1</v>
      </c>
      <c r="F121" s="3117">
        <v>15</v>
      </c>
    </row>
    <row r="122" spans="1:6" ht="24">
      <c r="A122" s="3117">
        <v>50</v>
      </c>
      <c r="B122" s="3776" t="s">
        <v>2760</v>
      </c>
      <c r="C122" s="3117" t="s">
        <v>2761</v>
      </c>
      <c r="D122" s="3091" t="s">
        <v>2762</v>
      </c>
      <c r="E122" s="3117">
        <v>0.1</v>
      </c>
      <c r="F122" s="3117">
        <v>15</v>
      </c>
    </row>
    <row r="123" spans="1:6" ht="24">
      <c r="A123" s="3117">
        <v>51</v>
      </c>
      <c r="B123" s="3776"/>
      <c r="C123" s="3117" t="s">
        <v>2763</v>
      </c>
      <c r="D123" s="3091" t="s">
        <v>2764</v>
      </c>
      <c r="E123" s="3117">
        <v>0.1</v>
      </c>
      <c r="F123" s="3117">
        <v>15</v>
      </c>
    </row>
    <row r="124" spans="1:6" ht="24">
      <c r="A124" s="3117">
        <v>52</v>
      </c>
      <c r="B124" s="3776" t="s">
        <v>2765</v>
      </c>
      <c r="C124" s="3117" t="s">
        <v>2766</v>
      </c>
      <c r="D124" s="3091" t="s">
        <v>2767</v>
      </c>
      <c r="E124" s="3117">
        <v>0.1</v>
      </c>
      <c r="F124" s="3117">
        <v>15</v>
      </c>
    </row>
    <row r="125" spans="1:6" ht="24">
      <c r="A125" s="3117">
        <v>53</v>
      </c>
      <c r="B125" s="377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6" t="s">
        <v>2773</v>
      </c>
      <c r="C127" s="3117" t="s">
        <v>2774</v>
      </c>
      <c r="D127" s="3091" t="s">
        <v>2775</v>
      </c>
      <c r="E127" s="3117">
        <v>0.1</v>
      </c>
      <c r="F127" s="3117">
        <v>15</v>
      </c>
    </row>
    <row r="128" spans="1:6" ht="13.5">
      <c r="A128" s="3117">
        <v>56</v>
      </c>
      <c r="B128" s="3776"/>
      <c r="C128" s="3117" t="s">
        <v>2776</v>
      </c>
      <c r="D128" s="3091" t="s">
        <v>2777</v>
      </c>
      <c r="E128" s="3117">
        <v>0.1</v>
      </c>
      <c r="F128" s="3117">
        <v>15</v>
      </c>
    </row>
    <row r="129" spans="1:6" ht="24">
      <c r="A129" s="3117">
        <v>57</v>
      </c>
      <c r="B129" s="3776"/>
      <c r="C129" s="3117" t="s">
        <v>2778</v>
      </c>
      <c r="D129" s="3091" t="s">
        <v>2779</v>
      </c>
      <c r="E129" s="3117">
        <v>0.1</v>
      </c>
      <c r="F129" s="3117">
        <v>15</v>
      </c>
    </row>
    <row r="130" spans="1:6" ht="24">
      <c r="A130" s="3117">
        <v>58</v>
      </c>
      <c r="B130" s="3776" t="s">
        <v>2780</v>
      </c>
      <c r="C130" s="3117" t="s">
        <v>2781</v>
      </c>
      <c r="D130" s="3091" t="s">
        <v>2782</v>
      </c>
      <c r="E130" s="3117">
        <v>0.1</v>
      </c>
      <c r="F130" s="3117">
        <v>15</v>
      </c>
    </row>
    <row r="131" spans="1:6" ht="13.5">
      <c r="A131" s="3117">
        <v>59</v>
      </c>
      <c r="B131" s="3776"/>
      <c r="C131" s="3117" t="s">
        <v>2783</v>
      </c>
      <c r="D131" s="3091" t="s">
        <v>2784</v>
      </c>
      <c r="E131" s="3117">
        <v>0.1</v>
      </c>
      <c r="F131" s="3117">
        <v>15</v>
      </c>
    </row>
    <row r="132" spans="1:6" ht="13.5">
      <c r="A132" s="3117">
        <v>60</v>
      </c>
      <c r="B132" s="3771" t="s">
        <v>2785</v>
      </c>
      <c r="C132" s="3117" t="s">
        <v>2786</v>
      </c>
      <c r="D132" s="3091" t="s">
        <v>2787</v>
      </c>
      <c r="E132" s="3117">
        <v>0.1</v>
      </c>
      <c r="F132" s="3117">
        <v>15</v>
      </c>
    </row>
    <row r="133" spans="1:6" ht="13.5">
      <c r="A133" s="3117">
        <v>61</v>
      </c>
      <c r="B133" s="3775"/>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6" t="s">
        <v>2793</v>
      </c>
      <c r="C135" s="3117" t="s">
        <v>2794</v>
      </c>
      <c r="D135" s="3091" t="s">
        <v>2795</v>
      </c>
      <c r="E135" s="3117">
        <v>0.1</v>
      </c>
      <c r="F135" s="3117">
        <v>15</v>
      </c>
    </row>
    <row r="136" spans="1:6" ht="13.5">
      <c r="A136" s="3117">
        <v>64</v>
      </c>
      <c r="B136" s="377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1.2302</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1.1198999999999999</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4653</v>
      </c>
      <c r="E5" s="1491"/>
    </row>
    <row r="6" spans="1:5" ht="15.75">
      <c r="A6" s="1491"/>
      <c r="B6" s="3460"/>
      <c r="C6" s="1494" t="s">
        <v>911</v>
      </c>
      <c r="D6" s="850" t="str">
        <f ca="1">NUMBERSTRING(INT(D5*10000),2)&amp;"元整"</f>
        <v>肆仟陆佰伍拾叁万元整</v>
      </c>
      <c r="E6" s="1491"/>
    </row>
    <row r="7" spans="1:5" ht="15.75">
      <c r="A7" s="1491"/>
      <c r="B7" s="3465"/>
      <c r="C7" s="1495" t="s">
        <v>912</v>
      </c>
      <c r="D7" s="851">
        <f ca="1">结果表!H102</f>
        <v>5456</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4653</v>
      </c>
      <c r="E13" s="1491"/>
    </row>
    <row r="14" spans="1:5" ht="15.75">
      <c r="A14" s="1491"/>
      <c r="B14" s="3460"/>
      <c r="C14" s="1494" t="s">
        <v>911</v>
      </c>
      <c r="D14" s="850" t="str">
        <f ca="1">NUMBERSTRING(INT(D13*10000),2)&amp;"元整"</f>
        <v>肆仟陆佰伍拾叁万元整</v>
      </c>
      <c r="E14" s="1491"/>
    </row>
    <row r="15" spans="1:5" ht="15">
      <c r="A15" s="1491"/>
      <c r="B15" s="3465"/>
      <c r="C15" s="1495" t="s">
        <v>921</v>
      </c>
      <c r="D15" s="859">
        <f ca="1">结果表!H108</f>
        <v>5456</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4407</v>
      </c>
      <c r="E19" s="1491"/>
    </row>
    <row r="20" spans="1:5" ht="15.75">
      <c r="A20" s="1491"/>
      <c r="B20" s="3460"/>
      <c r="C20" s="1494" t="s">
        <v>923</v>
      </c>
      <c r="D20" s="850" t="str">
        <f ca="1">NUMBERSTRING(INT(D19*10000),2)&amp;"元整"</f>
        <v>肆仟肆佰零柒万元整</v>
      </c>
      <c r="E20" s="1491"/>
    </row>
    <row r="21" spans="1:5" ht="15.75" thickBot="1">
      <c r="A21" s="1491"/>
      <c r="B21" s="3461"/>
      <c r="C21" s="1501" t="s">
        <v>921</v>
      </c>
      <c r="D21" s="860">
        <f ca="1">结果表!H112</f>
        <v>5168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27372</v>
      </c>
      <c r="C2" s="2" t="s">
        <v>106</v>
      </c>
      <c r="D2" s="199"/>
      <c r="E2" s="199"/>
      <c r="F2" s="199"/>
      <c r="G2" s="199"/>
    </row>
    <row r="3" spans="1:7" s="200" customFormat="1" ht="18" customHeight="1" thickBot="1">
      <c r="A3" s="203" t="s">
        <v>58</v>
      </c>
      <c r="B3" s="204">
        <f ca="1">ROUND(B2*10000/'数据-汇总表'!E3,0)</f>
        <v>32097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162</v>
      </c>
      <c r="D10" s="845">
        <f>'数据-汇总表'!E6</f>
        <v>8527.7800000000007</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171</v>
      </c>
      <c r="D19" s="849">
        <f>'数据-汇总表'!E3</f>
        <v>8527.7800000000007</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724</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1696</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1696</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1961</v>
      </c>
      <c r="D34" s="217"/>
      <c r="E34" s="220"/>
      <c r="F34" s="257">
        <f>IF('数据-取费表'!B24=0,1,'数据-取费表'!N16)</f>
        <v>1</v>
      </c>
      <c r="G34" s="219" t="s">
        <v>89</v>
      </c>
    </row>
    <row r="35" spans="1:7" ht="13.5" customHeight="1">
      <c r="A35" s="780" t="s">
        <v>351</v>
      </c>
      <c r="B35" s="215" t="s">
        <v>33</v>
      </c>
      <c r="C35" s="220">
        <f>ROUND(C34*F35,0)</f>
        <v>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171</v>
      </c>
      <c r="D37" s="217">
        <f>'数据-汇总表'!E3</f>
        <v>8527.7800000000007</v>
      </c>
      <c r="E37" s="249">
        <f>'数据-取费表'!B35</f>
        <v>200</v>
      </c>
      <c r="F37" s="259"/>
      <c r="G37" s="261" t="s">
        <v>92</v>
      </c>
    </row>
    <row r="38" spans="1:7" ht="13.5" customHeight="1">
      <c r="A38" s="780" t="s">
        <v>354</v>
      </c>
      <c r="B38" s="215" t="s">
        <v>36</v>
      </c>
      <c r="C38" s="220">
        <f>ROUND(C34*F38,0)</f>
        <v>39</v>
      </c>
      <c r="D38" s="220"/>
      <c r="E38" s="220"/>
      <c r="F38" s="259">
        <f>'数据-取费表'!B36</f>
        <v>0.02</v>
      </c>
      <c r="G38" s="219" t="s">
        <v>90</v>
      </c>
    </row>
    <row r="39" spans="1:7" s="214" customFormat="1" ht="13.5" customHeight="1">
      <c r="A39" s="777" t="s">
        <v>338</v>
      </c>
      <c r="B39" s="210" t="s">
        <v>77</v>
      </c>
      <c r="C39" s="232">
        <f>ROUND(C33*F20,0)</f>
        <v>45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38</v>
      </c>
      <c r="D42" s="238"/>
      <c r="E42" s="238"/>
      <c r="F42" s="239"/>
      <c r="G42" s="3641" t="s">
        <v>94</v>
      </c>
    </row>
    <row r="43" spans="1:7" ht="13.5" customHeight="1">
      <c r="A43" s="780" t="s">
        <v>347</v>
      </c>
      <c r="B43" s="215" t="s">
        <v>426</v>
      </c>
      <c r="C43" s="238">
        <f ca="1">ROUND(IF('数据-取费表'!B22&lt;=1,C39*F22*'数据-取费表'!B21/2,C39*(POWER((1+F22),'数据-取费表'!B21/2)-1)),0)</f>
        <v>1</v>
      </c>
      <c r="D43" s="238"/>
      <c r="E43" s="238"/>
      <c r="F43" s="239"/>
      <c r="G43" s="3642"/>
    </row>
    <row r="44" spans="1:7" ht="13.5" customHeight="1">
      <c r="A44" s="780" t="s">
        <v>348</v>
      </c>
      <c r="B44" s="215" t="s">
        <v>428</v>
      </c>
      <c r="C44" s="238">
        <f ca="1">ROUND(IF('数据-取费表'!B22&lt;=1,C40*F22*'数据-取费表'!B21/2,C40*(POWER((1+F22),'数据-取费表'!B21/2)-1)),4)</f>
        <v>2.9999999999999997E-4</v>
      </c>
      <c r="D44" s="238"/>
      <c r="E44" s="238"/>
      <c r="F44" s="239"/>
      <c r="G44" s="3643"/>
    </row>
    <row r="45" spans="1:7" s="214" customFormat="1" ht="13.5" customHeight="1">
      <c r="A45" s="777" t="s">
        <v>341</v>
      </c>
      <c r="B45" s="244" t="s">
        <v>85</v>
      </c>
      <c r="C45" s="245">
        <f>C46</f>
        <v>182</v>
      </c>
      <c r="D45" s="235">
        <f>C47</f>
        <v>1.6000000000000001E-3</v>
      </c>
      <c r="E45" s="236" t="s">
        <v>102</v>
      </c>
      <c r="F45" s="246"/>
      <c r="G45" s="247" t="s">
        <v>434</v>
      </c>
    </row>
    <row r="46" spans="1:7" s="214" customFormat="1" ht="13.5" customHeight="1">
      <c r="A46" s="780" t="s">
        <v>349</v>
      </c>
      <c r="B46" s="248" t="s">
        <v>427</v>
      </c>
      <c r="C46" s="249">
        <f>ROUND((C33+C39)*F27,0)</f>
        <v>182</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2696</v>
      </c>
      <c r="D49" s="232"/>
      <c r="E49" s="232"/>
      <c r="F49" s="264"/>
      <c r="G49" s="234" t="s">
        <v>435</v>
      </c>
    </row>
    <row r="50" spans="1:7" s="258" customFormat="1" ht="24">
      <c r="A50" s="777" t="s">
        <v>344</v>
      </c>
      <c r="B50" s="210" t="s">
        <v>97</v>
      </c>
      <c r="C50" s="232"/>
      <c r="D50" s="232"/>
      <c r="E50" s="232"/>
      <c r="F50" s="264">
        <f>IF('数据-取费表'!B24=0,'数据-取费表'!N16,1)</f>
        <v>0.69</v>
      </c>
      <c r="G50" s="247" t="s">
        <v>98</v>
      </c>
    </row>
    <row r="51" spans="1:7" ht="16.5" customHeight="1">
      <c r="A51" s="777" t="s">
        <v>345</v>
      </c>
      <c r="B51" s="210" t="s">
        <v>105</v>
      </c>
      <c r="C51" s="232">
        <f ca="1">ROUND(C49*F50,0)</f>
        <v>1860</v>
      </c>
      <c r="D51" s="232"/>
      <c r="E51" s="232"/>
      <c r="F51" s="264"/>
      <c r="G51" s="234" t="s">
        <v>37</v>
      </c>
    </row>
    <row r="52" spans="1:7" s="208" customFormat="1" ht="16.5" thickBot="1">
      <c r="A52" s="265" t="s">
        <v>38</v>
      </c>
      <c r="B52" s="266"/>
      <c r="C52" s="267">
        <f ca="1">C31+C51</f>
        <v>27372</v>
      </c>
      <c r="D52" s="266"/>
      <c r="E52" s="266"/>
      <c r="F52" s="266"/>
      <c r="G52" s="268"/>
    </row>
    <row r="55" spans="1:7" ht="15">
      <c r="B55" s="270" t="s">
        <v>39</v>
      </c>
      <c r="C55" s="271"/>
    </row>
    <row r="56" spans="1:7">
      <c r="B56" s="273" t="s">
        <v>40</v>
      </c>
      <c r="C56" s="274">
        <f ca="1">ROUND(C51/C52,3)</f>
        <v>6.8000000000000005E-2</v>
      </c>
    </row>
    <row r="57" spans="1:7">
      <c r="B57" s="273" t="s">
        <v>41</v>
      </c>
      <c r="C57" s="275">
        <f ca="1">1-C56</f>
        <v>0.93199999999999994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2843</v>
      </c>
      <c r="B1" s="3779"/>
      <c r="C1" s="3779"/>
      <c r="D1" s="3779"/>
      <c r="E1" s="3779"/>
      <c r="F1" s="3779"/>
      <c r="G1" s="3780"/>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7"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8"/>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3185</v>
      </c>
      <c r="B1" s="3781"/>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2" t="s">
        <v>3236</v>
      </c>
      <c r="B1" s="3782"/>
      <c r="C1" s="3782"/>
      <c r="D1" s="3782"/>
      <c r="E1" s="3782"/>
      <c r="F1" s="3783"/>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S20" sqref="S20"/>
    </sheetView>
  </sheetViews>
  <sheetFormatPr defaultRowHeight="13.5"/>
  <cols>
    <col min="1" max="1" width="13.875" customWidth="1"/>
    <col min="11" max="17" width="0" hidden="1" customWidth="1"/>
    <col min="25" max="30" width="0" hidden="1" customWidth="1"/>
  </cols>
  <sheetData>
    <row r="1" spans="1:30">
      <c r="A1" s="3220">
        <f>基准地价修正!G23</f>
        <v>45425</v>
      </c>
      <c r="B1" s="3209" t="s">
        <v>3375</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84" t="s">
        <v>2831</v>
      </c>
      <c r="S23" s="3785"/>
      <c r="T23" s="3785"/>
      <c r="U23" s="3785"/>
      <c r="V23" s="3785"/>
      <c r="W23" s="3785"/>
      <c r="X23" s="3164"/>
      <c r="Y23" s="3784" t="s">
        <v>2832</v>
      </c>
      <c r="Z23" s="3785"/>
      <c r="AA23" s="3785"/>
      <c r="AB23" s="3785"/>
      <c r="AC23" s="3785"/>
      <c r="AD23" s="3785"/>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31" sqref="B31"/>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8527.7800000000007</v>
      </c>
      <c r="C4" s="854">
        <f>项目基本情况!C18</f>
        <v>25252.5</v>
      </c>
      <c r="D4" s="854">
        <f ca="1">结果表!D118</f>
        <v>2848</v>
      </c>
      <c r="E4" s="854">
        <f ca="1">结果表!E118</f>
        <v>3339</v>
      </c>
      <c r="F4" s="854">
        <f ca="1">结果表!F118</f>
        <v>1805</v>
      </c>
      <c r="G4" s="854">
        <f ca="1">结果表!G118</f>
        <v>2117</v>
      </c>
      <c r="H4" s="854">
        <f ca="1">结果表!H118</f>
        <v>4653</v>
      </c>
      <c r="I4" s="854">
        <f ca="1">结果表!I118</f>
        <v>5456</v>
      </c>
    </row>
    <row r="5" spans="1:9" ht="30" customHeight="1">
      <c r="A5" s="3471" t="s">
        <v>927</v>
      </c>
      <c r="B5" s="3471"/>
      <c r="C5" s="3471"/>
      <c r="D5" s="3471" t="str">
        <f ca="1">结果表!D119</f>
        <v>贰仟捌佰肆拾捌万元整</v>
      </c>
      <c r="E5" s="3471"/>
      <c r="F5" s="3471" t="str">
        <f ca="1">结果表!F119</f>
        <v>壹仟捌佰零伍万元整</v>
      </c>
      <c r="G5" s="3471"/>
      <c r="H5" s="3471" t="str">
        <f ca="1">结果表!H119</f>
        <v>肆仟陆佰伍拾叁万元整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4653</v>
      </c>
      <c r="E8" s="3472"/>
      <c r="F8" s="3472"/>
      <c r="G8" s="3472"/>
      <c r="H8" s="3472"/>
      <c r="I8" s="3472"/>
    </row>
    <row r="9" spans="1:9" ht="15">
      <c r="A9" s="3471" t="s">
        <v>927</v>
      </c>
      <c r="B9" s="3471"/>
      <c r="C9" s="3471"/>
      <c r="D9" s="3471" t="str">
        <f ca="1">结果表!D123</f>
        <v>肆仟陆佰伍拾叁万元整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抵押净值</v>
      </c>
      <c r="B12" s="3472"/>
      <c r="C12" s="3472"/>
      <c r="D12" s="3472">
        <f ca="1">结果表!D126</f>
        <v>4407</v>
      </c>
      <c r="E12" s="3472"/>
      <c r="F12" s="3472"/>
      <c r="G12" s="3472"/>
      <c r="H12" s="3472"/>
      <c r="I12" s="3472"/>
    </row>
    <row r="13" spans="1:9" ht="15.75" thickBot="1">
      <c r="A13" s="3476" t="s">
        <v>927</v>
      </c>
      <c r="B13" s="3476"/>
      <c r="C13" s="3476"/>
      <c r="D13" s="3476" t="str">
        <f ca="1">结果表!D127</f>
        <v>肆仟肆佰零柒万元整</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45429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2"/>
      <c r="E18" s="3497" t="s">
        <v>2162</v>
      </c>
      <c r="F18" s="3496"/>
      <c r="G18" s="349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拆分价值</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2024-05-17T05:31:44Z</dcterms:modified>
</cp:coreProperties>
</file>