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新疆\塔城\"/>
    </mc:Choice>
  </mc:AlternateContent>
  <bookViews>
    <workbookView xWindow="0" yWindow="0" windowWidth="19200" windowHeight="11040" tabRatio="881"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67" r:id="rId20"/>
    <sheet name="信息" sheetId="84" r:id="rId21"/>
    <sheet name="典型户型修正（办公）" sheetId="31" state="hidden" r:id="rId22"/>
    <sheet name="结果表（商业）" sheetId="9" state="hidden" r:id="rId23"/>
    <sheet name="成本法" sheetId="68" state="hidden" r:id="rId24"/>
    <sheet name="成本法 (元)" sheetId="69" state="hidden" r:id="rId25"/>
    <sheet name="假设开发法" sheetId="12" state="hidden" r:id="rId26"/>
    <sheet name="比较法-住宅" sheetId="21" state="hidden" r:id="rId27"/>
    <sheet name="收益法" sheetId="15" state="hidden" r:id="rId28"/>
    <sheet name="收益法（汇总）" sheetId="70" state="hidden" r:id="rId29"/>
    <sheet name="酒店收入计算" sheetId="66" state="hidden" r:id="rId30"/>
    <sheet name="比较法-商业" sheetId="33" state="hidden" r:id="rId31"/>
    <sheet name="收益法 (1层商业)" sheetId="81" state="hidden" r:id="rId32"/>
    <sheet name="典型户型修正（商业）" sheetId="83" state="hidden"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面积1" sheetId="80"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18"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30" hidden="1">'比较法-商业'!$A$1:$L$49</definedName>
    <definedName name="_xlnm._FilterDatabase" localSheetId="2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18">'比较法-办公'!$A$1:$K$50</definedName>
    <definedName name="_xlnm.Print_Area" localSheetId="30">'比较法-商业'!$A$1:$K$49</definedName>
    <definedName name="_xlnm.Print_Area" localSheetId="21">'典型户型修正（办公）'!$A$1:$T$34</definedName>
    <definedName name="_xlnm.Print_Area" localSheetId="32">'典型户型修正（商业）'!$A$1:$T$28</definedName>
    <definedName name="_xlnm.Print_Area" localSheetId="15">估价对象房地状况!$A$1:$G$24</definedName>
    <definedName name="_xlnm.Print_Area" localSheetId="8">估价师及机构信息!$A$1:$F$29</definedName>
    <definedName name="_xlnm.Print_Area" localSheetId="17">'结果表（办公）'!$A$1:$I$22</definedName>
    <definedName name="_xlnm.Print_Area" localSheetId="22">'结果表（商业）'!$A$1:$I$22</definedName>
    <definedName name="_xlnm.Print_Area" localSheetId="46">面积1!$A$1:$J$31</definedName>
    <definedName name="_xlnm.Print_Area" localSheetId="27">收益法!$A$1:$AK$69</definedName>
    <definedName name="_xlnm.Print_Area" localSheetId="31">'收益法 (1层商业)'!$A$1:$F$43</definedName>
    <definedName name="_xlnm.Print_Area" localSheetId="19">'收益法（办公）'!$A$1:$F$44</definedName>
    <definedName name="_xlnm.Print_Area" localSheetId="37">'收益法-车库'!$A$1:$AK$69</definedName>
    <definedName name="_xlnm.Print_Area" localSheetId="35">'收益法-联排'!$A$1:$AK$69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2">'典型户型修正（商业）'!$5:$5</definedName>
    <definedName name="一修多修正项2">'典型户型修正（办公）'!$5:$5</definedName>
    <definedName name="一修多修正项3" localSheetId="32">'典型户型修正（商业）'!$7:$7</definedName>
    <definedName name="一修多修正项3">'典型户型修正（办公）'!$7:$7</definedName>
    <definedName name="一修多修正项4" localSheetId="32">'典型户型修正（商业）'!$9:$9</definedName>
    <definedName name="一修多修正项4">'典型户型修正（办公）'!$9:$9</definedName>
    <definedName name="一修多修正项5" localSheetId="32">'典型户型修正（商业）'!$11:$11</definedName>
    <definedName name="一修多修正项5">'典型户型修正（办公）'!$11:$11</definedName>
    <definedName name="一修多修正项6" localSheetId="32">'典型户型修正（商业）'!$13:$13</definedName>
    <definedName name="一修多修正项6">'典型户型修正（办公）'!$13:$13</definedName>
    <definedName name="一修多修正项7" localSheetId="32">'典型户型修正（商业）'!$15:$15</definedName>
    <definedName name="一修多修正项7">'典型户型修正（办公）'!$15:$15</definedName>
    <definedName name="一修多修正项8" localSheetId="32">'典型户型修正（商业）'!$17:$17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G48" i="34" l="1"/>
  <c r="D5" i="84"/>
  <c r="E5" i="84"/>
  <c r="E4" i="84"/>
  <c r="C37" i="34"/>
  <c r="C34" i="34"/>
  <c r="N6" i="1"/>
  <c r="F19" i="6"/>
  <c r="K16" i="3"/>
  <c r="D3" i="4"/>
  <c r="I47" i="33"/>
  <c r="G47" i="33"/>
  <c r="E47" i="33"/>
  <c r="B7" i="83"/>
  <c r="T5" i="83"/>
  <c r="D5" i="83"/>
  <c r="E5" i="83"/>
  <c r="F5" i="83"/>
  <c r="G5" i="83"/>
  <c r="C5" i="83"/>
  <c r="C36" i="33"/>
  <c r="H36" i="33"/>
  <c r="AB36" i="33"/>
  <c r="K42" i="33"/>
  <c r="D123" i="33"/>
  <c r="H42" i="33"/>
  <c r="AB42" i="33"/>
  <c r="H34" i="33"/>
  <c r="AB34" i="33"/>
  <c r="T47" i="33"/>
  <c r="H28" i="33"/>
  <c r="AB28" i="33"/>
  <c r="D87" i="33"/>
  <c r="E87" i="33"/>
  <c r="H25" i="33"/>
  <c r="AB25" i="33"/>
  <c r="B2" i="1"/>
  <c r="C7" i="33"/>
  <c r="C58" i="33"/>
  <c r="D58" i="33"/>
  <c r="E58" i="33"/>
  <c r="F58" i="33"/>
  <c r="G58" i="33"/>
  <c r="H58" i="33"/>
  <c r="I58" i="33"/>
  <c r="J58" i="33"/>
  <c r="K58" i="33"/>
  <c r="L58" i="33"/>
  <c r="M58" i="33"/>
  <c r="N58" i="33"/>
  <c r="O58" i="33"/>
  <c r="H7" i="33"/>
  <c r="AB7" i="33"/>
  <c r="C33" i="33"/>
  <c r="H33" i="33"/>
  <c r="AB33" i="33"/>
  <c r="T48" i="33"/>
  <c r="F26" i="33"/>
  <c r="AA26" i="33"/>
  <c r="F34" i="33"/>
  <c r="AA34" i="33"/>
  <c r="F33" i="33"/>
  <c r="AA33" i="33"/>
  <c r="R47" i="33"/>
  <c r="F28" i="33"/>
  <c r="AA28" i="33"/>
  <c r="F87" i="33"/>
  <c r="G87" i="33"/>
  <c r="F25" i="33"/>
  <c r="AA25" i="33"/>
  <c r="F36" i="33"/>
  <c r="AA36" i="33"/>
  <c r="F7" i="33"/>
  <c r="AA7" i="33"/>
  <c r="E123" i="33"/>
  <c r="F123" i="33"/>
  <c r="F42" i="33"/>
  <c r="AA42" i="33"/>
  <c r="R48" i="33"/>
  <c r="J34" i="33"/>
  <c r="AC34" i="33"/>
  <c r="V47" i="33"/>
  <c r="J28" i="33"/>
  <c r="AC28" i="33"/>
  <c r="J25" i="33"/>
  <c r="AC25" i="33"/>
  <c r="J36" i="33"/>
  <c r="AC36" i="33"/>
  <c r="J7" i="33"/>
  <c r="AC7" i="33"/>
  <c r="J33" i="33"/>
  <c r="AC33" i="33"/>
  <c r="J42" i="33"/>
  <c r="AC42" i="33"/>
  <c r="V48" i="33"/>
  <c r="R49" i="33"/>
  <c r="C49" i="33"/>
  <c r="B3" i="33"/>
  <c r="C20" i="9"/>
  <c r="A7" i="1"/>
  <c r="A6" i="1"/>
  <c r="G1" i="81"/>
  <c r="F6" i="81"/>
  <c r="F8" i="81"/>
  <c r="E20" i="6"/>
  <c r="K7" i="1"/>
  <c r="F7" i="81"/>
  <c r="F9" i="81"/>
  <c r="C6" i="81"/>
  <c r="C1" i="73"/>
  <c r="L1" i="73"/>
  <c r="F4" i="73"/>
  <c r="I1" i="73"/>
  <c r="B39" i="1"/>
  <c r="F11" i="81"/>
  <c r="C10" i="81"/>
  <c r="C5" i="81"/>
  <c r="C42" i="1"/>
  <c r="B43" i="1"/>
  <c r="B41" i="1"/>
  <c r="F32" i="81"/>
  <c r="C32" i="81"/>
  <c r="F43" i="81"/>
  <c r="BB13" i="3"/>
  <c r="BC13" i="3"/>
  <c r="BA13" i="3"/>
  <c r="BC16" i="3"/>
  <c r="BD16" i="3"/>
  <c r="BA16" i="3"/>
  <c r="BB14" i="3"/>
  <c r="BC14" i="3"/>
  <c r="BD14" i="3"/>
  <c r="BE14" i="3"/>
  <c r="BF14" i="3"/>
  <c r="BG14" i="3"/>
  <c r="BH14" i="3"/>
  <c r="BI14" i="3"/>
  <c r="BJ14" i="3"/>
  <c r="BK14" i="3"/>
  <c r="BA14" i="3"/>
  <c r="BC15" i="3"/>
  <c r="BB15" i="3"/>
  <c r="BD15" i="3"/>
  <c r="BE15" i="3"/>
  <c r="BF15" i="3"/>
  <c r="BG15" i="3"/>
  <c r="BH15" i="3"/>
  <c r="BI15" i="3"/>
  <c r="BJ15" i="3"/>
  <c r="BK15" i="3"/>
  <c r="BA15" i="3"/>
  <c r="BA5" i="3"/>
  <c r="E19" i="6"/>
  <c r="BC5" i="3"/>
  <c r="BD10" i="3"/>
  <c r="E8" i="6"/>
  <c r="F27" i="6"/>
  <c r="E27" i="6"/>
  <c r="BQ14" i="3"/>
  <c r="BQ15" i="3"/>
  <c r="BQ5" i="3"/>
  <c r="BS14" i="3"/>
  <c r="BS15" i="3"/>
  <c r="BS5" i="3"/>
  <c r="F28" i="6"/>
  <c r="BR14" i="3"/>
  <c r="BR15" i="3"/>
  <c r="BR5" i="3"/>
  <c r="BT14" i="3"/>
  <c r="BT15" i="3"/>
  <c r="BT5" i="3"/>
  <c r="G28" i="6"/>
  <c r="E28" i="6"/>
  <c r="K20" i="6"/>
  <c r="S7" i="1"/>
  <c r="C14" i="81"/>
  <c r="C15" i="81"/>
  <c r="F16" i="81"/>
  <c r="C16" i="81"/>
  <c r="F17" i="81"/>
  <c r="C17" i="81"/>
  <c r="C18" i="81"/>
  <c r="C19" i="81"/>
  <c r="C20" i="81"/>
  <c r="J1" i="73"/>
  <c r="D5" i="73"/>
  <c r="B22" i="1"/>
  <c r="E1" i="73"/>
  <c r="K1" i="73"/>
  <c r="D4" i="73"/>
  <c r="G1" i="73"/>
  <c r="B40" i="1"/>
  <c r="F24" i="81"/>
  <c r="F23" i="81"/>
  <c r="C23" i="81"/>
  <c r="F26" i="81"/>
  <c r="C26" i="81"/>
  <c r="C24" i="81"/>
  <c r="C27" i="81"/>
  <c r="F28" i="81"/>
  <c r="C28" i="81"/>
  <c r="C29" i="81"/>
  <c r="C33" i="81"/>
  <c r="AZ13" i="3"/>
  <c r="AZ16" i="3"/>
  <c r="BM14" i="3"/>
  <c r="BN14" i="3"/>
  <c r="BO14" i="3"/>
  <c r="BP14" i="3"/>
  <c r="BL14" i="3"/>
  <c r="AZ14" i="3"/>
  <c r="BM15" i="3"/>
  <c r="BN15" i="3"/>
  <c r="BO15" i="3"/>
  <c r="BP15" i="3"/>
  <c r="BL15" i="3"/>
  <c r="AZ15" i="3"/>
  <c r="AZ5" i="3"/>
  <c r="H13" i="3"/>
  <c r="G13" i="3"/>
  <c r="H16" i="3"/>
  <c r="G16" i="3"/>
  <c r="H14" i="3"/>
  <c r="G14" i="3"/>
  <c r="H15" i="3"/>
  <c r="G15" i="3"/>
  <c r="G5" i="3"/>
  <c r="B3" i="3"/>
  <c r="AY6" i="3"/>
  <c r="D3" i="6"/>
  <c r="E3" i="6"/>
  <c r="D20" i="6"/>
  <c r="L20" i="6"/>
  <c r="M20" i="6"/>
  <c r="I20" i="6"/>
  <c r="H20" i="6"/>
  <c r="R20" i="6"/>
  <c r="R7" i="1"/>
  <c r="F35" i="81"/>
  <c r="B52" i="1"/>
  <c r="F34" i="81"/>
  <c r="C34" i="81"/>
  <c r="C31" i="81"/>
  <c r="F36" i="81"/>
  <c r="C36" i="81"/>
  <c r="F13" i="81"/>
  <c r="C13" i="81"/>
  <c r="F37" i="81"/>
  <c r="C37" i="81"/>
  <c r="F38" i="81"/>
  <c r="C38" i="81"/>
  <c r="C30" i="81"/>
  <c r="C39" i="81"/>
  <c r="F42" i="81"/>
  <c r="F40" i="81"/>
  <c r="E15" i="4"/>
  <c r="F7" i="1"/>
  <c r="L48" i="81"/>
  <c r="J51" i="81"/>
  <c r="J53" i="81"/>
  <c r="F1" i="81"/>
  <c r="AE7" i="1"/>
  <c r="F41" i="81"/>
  <c r="C40" i="81"/>
  <c r="M6" i="81"/>
  <c r="M8" i="81"/>
  <c r="M7" i="81"/>
  <c r="M9" i="81"/>
  <c r="J6" i="81"/>
  <c r="M11" i="81"/>
  <c r="J10" i="81"/>
  <c r="J5" i="81"/>
  <c r="J26" i="81"/>
  <c r="J29" i="81"/>
  <c r="J60" i="81"/>
  <c r="L46" i="81"/>
  <c r="D2" i="81"/>
  <c r="B3" i="81"/>
  <c r="D20" i="9"/>
  <c r="G20" i="9"/>
  <c r="R24" i="83"/>
  <c r="D18" i="83"/>
  <c r="E18" i="83"/>
  <c r="F18" i="83"/>
  <c r="G18" i="83"/>
  <c r="C18" i="83"/>
  <c r="D17" i="83"/>
  <c r="E17" i="83"/>
  <c r="F17" i="83"/>
  <c r="G17" i="83"/>
  <c r="C17" i="83"/>
  <c r="D4" i="83"/>
  <c r="E4" i="83"/>
  <c r="F4" i="83"/>
  <c r="G4" i="83"/>
  <c r="H4" i="83"/>
  <c r="C4" i="83"/>
  <c r="D3" i="83"/>
  <c r="E3" i="83"/>
  <c r="F3" i="83"/>
  <c r="G3" i="83"/>
  <c r="H3" i="83"/>
  <c r="C3" i="83"/>
  <c r="I19" i="33"/>
  <c r="E89" i="33"/>
  <c r="F89" i="33"/>
  <c r="G89" i="33"/>
  <c r="D89" i="33"/>
  <c r="C17" i="33"/>
  <c r="I17" i="33"/>
  <c r="E17" i="33"/>
  <c r="I15" i="33"/>
  <c r="E104" i="33"/>
  <c r="F104" i="33"/>
  <c r="G104" i="33"/>
  <c r="H104" i="33"/>
  <c r="D104" i="33"/>
  <c r="F48" i="80"/>
  <c r="F40" i="80"/>
  <c r="E43" i="80"/>
  <c r="E41" i="80"/>
  <c r="E40" i="80"/>
  <c r="E39" i="80"/>
  <c r="E48" i="80"/>
  <c r="E49" i="80"/>
  <c r="F49" i="80"/>
  <c r="I7" i="33"/>
  <c r="G7" i="33"/>
  <c r="C19" i="80"/>
  <c r="C4" i="80"/>
  <c r="C5" i="80"/>
  <c r="C6" i="80"/>
  <c r="C7" i="80"/>
  <c r="C8" i="80"/>
  <c r="C9" i="80"/>
  <c r="C10" i="80"/>
  <c r="C11" i="80"/>
  <c r="C12" i="80"/>
  <c r="C13" i="80"/>
  <c r="C14" i="80"/>
  <c r="C15" i="80"/>
  <c r="C16" i="80"/>
  <c r="C17" i="80"/>
  <c r="C18" i="80"/>
  <c r="C3" i="80"/>
  <c r="D90" i="34"/>
  <c r="F27" i="34"/>
  <c r="AA27" i="34"/>
  <c r="F34" i="34"/>
  <c r="AA34" i="34"/>
  <c r="D78" i="34"/>
  <c r="E78" i="34"/>
  <c r="F15" i="34"/>
  <c r="AA15" i="34"/>
  <c r="D88" i="34"/>
  <c r="E88" i="34"/>
  <c r="F25" i="34"/>
  <c r="AA25" i="34"/>
  <c r="F37" i="34"/>
  <c r="AA37" i="34"/>
  <c r="C7" i="34"/>
  <c r="C59" i="34"/>
  <c r="D59" i="34"/>
  <c r="E59" i="34"/>
  <c r="F59" i="34"/>
  <c r="G59" i="34"/>
  <c r="H59" i="34"/>
  <c r="I59" i="34"/>
  <c r="J59" i="34"/>
  <c r="K59" i="34"/>
  <c r="L59" i="34"/>
  <c r="M59" i="34"/>
  <c r="N59" i="34"/>
  <c r="O59" i="34"/>
  <c r="F7" i="34"/>
  <c r="AA7" i="34"/>
  <c r="F10" i="34"/>
  <c r="AA10" i="34"/>
  <c r="D80" i="34"/>
  <c r="E80" i="34"/>
  <c r="F80" i="34"/>
  <c r="F17" i="34"/>
  <c r="AA17" i="34"/>
  <c r="F19" i="34"/>
  <c r="AA19" i="34"/>
  <c r="R48" i="34"/>
  <c r="F33" i="34"/>
  <c r="AA33" i="34"/>
  <c r="F35" i="34"/>
  <c r="AA35" i="34"/>
  <c r="D120" i="34"/>
  <c r="F41" i="34"/>
  <c r="AA41" i="34"/>
  <c r="D109" i="34"/>
  <c r="E109" i="34"/>
  <c r="F109" i="34"/>
  <c r="F36" i="34"/>
  <c r="AA36" i="34"/>
  <c r="D124" i="34"/>
  <c r="E124" i="34"/>
  <c r="F124" i="34"/>
  <c r="F43" i="34"/>
  <c r="AA43" i="34"/>
  <c r="D116" i="34"/>
  <c r="E116" i="34"/>
  <c r="F39" i="34"/>
  <c r="AA39" i="34"/>
  <c r="B127" i="34"/>
  <c r="F45" i="34"/>
  <c r="AA45" i="34"/>
  <c r="B129" i="34"/>
  <c r="F46" i="34"/>
  <c r="AA46" i="34"/>
  <c r="B131" i="34"/>
  <c r="F47" i="34"/>
  <c r="AA47" i="34"/>
  <c r="F9" i="34"/>
  <c r="AA9" i="34"/>
  <c r="R49" i="34"/>
  <c r="E90" i="34"/>
  <c r="H27" i="34"/>
  <c r="AB27" i="34"/>
  <c r="H34" i="34"/>
  <c r="AB34" i="34"/>
  <c r="F78" i="34"/>
  <c r="H15" i="34"/>
  <c r="AB15" i="34"/>
  <c r="H25" i="34"/>
  <c r="AB25" i="34"/>
  <c r="H37" i="34"/>
  <c r="AB37" i="34"/>
  <c r="H7" i="34"/>
  <c r="AB7" i="34"/>
  <c r="H10" i="34"/>
  <c r="AB10" i="34"/>
  <c r="H17" i="34"/>
  <c r="AB17" i="34"/>
  <c r="H19" i="34"/>
  <c r="AB19" i="34"/>
  <c r="T48" i="34"/>
  <c r="H33" i="34"/>
  <c r="AB33" i="34"/>
  <c r="H35" i="34"/>
  <c r="AB35" i="34"/>
  <c r="H41" i="34"/>
  <c r="AB41" i="34"/>
  <c r="H36" i="34"/>
  <c r="AB36" i="34"/>
  <c r="H43" i="34"/>
  <c r="AB43" i="34"/>
  <c r="H39" i="34"/>
  <c r="AB39" i="34"/>
  <c r="H45" i="34"/>
  <c r="AB45" i="34"/>
  <c r="H46" i="34"/>
  <c r="AB46" i="34"/>
  <c r="H47" i="34"/>
  <c r="AB47" i="34"/>
  <c r="H9" i="34"/>
  <c r="AB9" i="34"/>
  <c r="T49" i="34"/>
  <c r="J27" i="34"/>
  <c r="AC27" i="34"/>
  <c r="J34" i="34"/>
  <c r="AC34" i="34"/>
  <c r="J15" i="34"/>
  <c r="AC15" i="34"/>
  <c r="J25" i="34"/>
  <c r="AC25" i="34"/>
  <c r="J37" i="34"/>
  <c r="AC37" i="34"/>
  <c r="J7" i="34"/>
  <c r="AC7" i="34"/>
  <c r="J10" i="34"/>
  <c r="AC10" i="34"/>
  <c r="J17" i="34"/>
  <c r="AC17" i="34"/>
  <c r="J19" i="34"/>
  <c r="AC19" i="34"/>
  <c r="V48" i="34"/>
  <c r="J45" i="34"/>
  <c r="AC45" i="34"/>
  <c r="J33" i="34"/>
  <c r="AC33" i="34"/>
  <c r="J35" i="34"/>
  <c r="AC35" i="34"/>
  <c r="J36" i="34"/>
  <c r="AC36" i="34"/>
  <c r="J43" i="34"/>
  <c r="AC43" i="34"/>
  <c r="J39" i="34"/>
  <c r="AC39" i="34"/>
  <c r="J46" i="34"/>
  <c r="AC46" i="34"/>
  <c r="J47" i="34"/>
  <c r="AC47" i="34"/>
  <c r="J9" i="34"/>
  <c r="AC9" i="34"/>
  <c r="J41" i="34"/>
  <c r="AC41" i="34"/>
  <c r="V49" i="34"/>
  <c r="R50" i="34"/>
  <c r="C50" i="34"/>
  <c r="B3" i="34"/>
  <c r="C20" i="82"/>
  <c r="G1" i="67"/>
  <c r="F6" i="67"/>
  <c r="F8" i="67"/>
  <c r="K6" i="1"/>
  <c r="F7" i="67"/>
  <c r="F9" i="67"/>
  <c r="C6" i="67"/>
  <c r="F11" i="67"/>
  <c r="C10" i="67"/>
  <c r="C5" i="67"/>
  <c r="F32" i="67"/>
  <c r="C32" i="67"/>
  <c r="F43" i="67"/>
  <c r="K19" i="6"/>
  <c r="S6" i="1"/>
  <c r="C14" i="67"/>
  <c r="C15" i="67"/>
  <c r="F16" i="67"/>
  <c r="C16" i="67"/>
  <c r="F17" i="67"/>
  <c r="C17" i="67"/>
  <c r="C18" i="67"/>
  <c r="C19" i="67"/>
  <c r="C20" i="67"/>
  <c r="F24" i="67"/>
  <c r="F23" i="67"/>
  <c r="C23" i="67"/>
  <c r="F26" i="67"/>
  <c r="C26" i="67"/>
  <c r="C24" i="67"/>
  <c r="C27" i="67"/>
  <c r="F28" i="67"/>
  <c r="C28" i="67"/>
  <c r="C29" i="67"/>
  <c r="C33" i="67"/>
  <c r="D19" i="6"/>
  <c r="L19" i="6"/>
  <c r="M19" i="6"/>
  <c r="I19" i="6"/>
  <c r="H19" i="6"/>
  <c r="R19" i="6"/>
  <c r="R6" i="1"/>
  <c r="F35" i="67"/>
  <c r="F34" i="67"/>
  <c r="C34" i="67"/>
  <c r="C31" i="67"/>
  <c r="F36" i="67"/>
  <c r="C36" i="67"/>
  <c r="Y6" i="1"/>
  <c r="F13" i="67"/>
  <c r="C13" i="67"/>
  <c r="F37" i="67"/>
  <c r="C37" i="67"/>
  <c r="F38" i="67"/>
  <c r="C38" i="67"/>
  <c r="C30" i="67"/>
  <c r="C39" i="67"/>
  <c r="F42" i="67"/>
  <c r="F40" i="67"/>
  <c r="F15" i="4"/>
  <c r="F6" i="1"/>
  <c r="L48" i="67"/>
  <c r="J51" i="67"/>
  <c r="M47" i="67"/>
  <c r="J53" i="67"/>
  <c r="F1" i="67"/>
  <c r="AE6" i="1"/>
  <c r="F41" i="67"/>
  <c r="C40" i="67"/>
  <c r="M6" i="67"/>
  <c r="M8" i="67"/>
  <c r="M7" i="67"/>
  <c r="M9" i="67"/>
  <c r="J6" i="67"/>
  <c r="M11" i="67"/>
  <c r="J10" i="67"/>
  <c r="J5" i="67"/>
  <c r="J26" i="67"/>
  <c r="J29" i="67"/>
  <c r="J60" i="67"/>
  <c r="L46" i="67"/>
  <c r="D2" i="67"/>
  <c r="B3" i="67"/>
  <c r="D20" i="82"/>
  <c r="C17" i="82"/>
  <c r="D17" i="82"/>
  <c r="C18" i="82"/>
  <c r="D18" i="82"/>
  <c r="G20" i="82"/>
  <c r="R24" i="31"/>
  <c r="H24" i="31"/>
  <c r="J13" i="80"/>
  <c r="J14" i="80"/>
  <c r="J15" i="80"/>
  <c r="J16" i="80"/>
  <c r="T9" i="31"/>
  <c r="D9" i="31"/>
  <c r="E9" i="31"/>
  <c r="F9" i="31"/>
  <c r="C9" i="31"/>
  <c r="T7" i="31"/>
  <c r="C7" i="31"/>
  <c r="D7" i="31"/>
  <c r="E7" i="31"/>
  <c r="F7" i="31"/>
  <c r="T5" i="31"/>
  <c r="D4" i="31"/>
  <c r="E4" i="31"/>
  <c r="F4" i="31"/>
  <c r="G4" i="31"/>
  <c r="H4" i="31"/>
  <c r="C4" i="31"/>
  <c r="D3" i="31"/>
  <c r="E3" i="31"/>
  <c r="F3" i="31"/>
  <c r="G3" i="31"/>
  <c r="H3" i="31"/>
  <c r="C3" i="31"/>
  <c r="I21" i="34"/>
  <c r="G21" i="34"/>
  <c r="I25" i="34"/>
  <c r="G25" i="34"/>
  <c r="E25" i="34"/>
  <c r="C17" i="34"/>
  <c r="I7" i="34"/>
  <c r="G7" i="34"/>
  <c r="B28" i="83"/>
  <c r="B25" i="83"/>
  <c r="B26" i="83"/>
  <c r="B27" i="83"/>
  <c r="B24" i="83"/>
  <c r="A26" i="83"/>
  <c r="A27" i="83"/>
  <c r="A28" i="83"/>
  <c r="A25" i="83"/>
  <c r="A24" i="83"/>
  <c r="R524" i="83"/>
  <c r="S524" i="83"/>
  <c r="Q524" i="83"/>
  <c r="O524" i="83"/>
  <c r="M524" i="83"/>
  <c r="K524" i="83"/>
  <c r="I524" i="83"/>
  <c r="G524" i="83"/>
  <c r="E524" i="83"/>
  <c r="C524" i="83"/>
  <c r="R523" i="83"/>
  <c r="S523" i="83"/>
  <c r="Q523" i="83"/>
  <c r="O523" i="83"/>
  <c r="M523" i="83"/>
  <c r="K523" i="83"/>
  <c r="I523" i="83"/>
  <c r="G523" i="83"/>
  <c r="E523" i="83"/>
  <c r="C523" i="83"/>
  <c r="R522" i="83"/>
  <c r="S522" i="83"/>
  <c r="Q522" i="83"/>
  <c r="O522" i="83"/>
  <c r="M522" i="83"/>
  <c r="K522" i="83"/>
  <c r="I522" i="83"/>
  <c r="G522" i="83"/>
  <c r="E522" i="83"/>
  <c r="C522" i="83"/>
  <c r="R521" i="83"/>
  <c r="S521" i="83"/>
  <c r="Q521" i="83"/>
  <c r="O521" i="83"/>
  <c r="M521" i="83"/>
  <c r="K521" i="83"/>
  <c r="I521" i="83"/>
  <c r="G521" i="83"/>
  <c r="E521" i="83"/>
  <c r="C521" i="83"/>
  <c r="R520" i="83"/>
  <c r="S520" i="83"/>
  <c r="Q520" i="83"/>
  <c r="O520" i="83"/>
  <c r="M520" i="83"/>
  <c r="K520" i="83"/>
  <c r="I520" i="83"/>
  <c r="G520" i="83"/>
  <c r="E520" i="83"/>
  <c r="C520" i="83"/>
  <c r="R519" i="83"/>
  <c r="S519" i="83"/>
  <c r="Q519" i="83"/>
  <c r="O519" i="83"/>
  <c r="M519" i="83"/>
  <c r="K519" i="83"/>
  <c r="I519" i="83"/>
  <c r="G519" i="83"/>
  <c r="E519" i="83"/>
  <c r="C519" i="83"/>
  <c r="R518" i="83"/>
  <c r="S518" i="83"/>
  <c r="Q518" i="83"/>
  <c r="O518" i="83"/>
  <c r="M518" i="83"/>
  <c r="K518" i="83"/>
  <c r="I518" i="83"/>
  <c r="G518" i="83"/>
  <c r="E518" i="83"/>
  <c r="C518" i="83"/>
  <c r="R517" i="83"/>
  <c r="S517" i="83"/>
  <c r="Q517" i="83"/>
  <c r="O517" i="83"/>
  <c r="M517" i="83"/>
  <c r="K517" i="83"/>
  <c r="I517" i="83"/>
  <c r="G517" i="83"/>
  <c r="E517" i="83"/>
  <c r="C517" i="83"/>
  <c r="R516" i="83"/>
  <c r="S516" i="83"/>
  <c r="Q516" i="83"/>
  <c r="O516" i="83"/>
  <c r="M516" i="83"/>
  <c r="K516" i="83"/>
  <c r="I516" i="83"/>
  <c r="G516" i="83"/>
  <c r="E516" i="83"/>
  <c r="C516" i="83"/>
  <c r="R515" i="83"/>
  <c r="S515" i="83"/>
  <c r="Q515" i="83"/>
  <c r="O515" i="83"/>
  <c r="M515" i="83"/>
  <c r="K515" i="83"/>
  <c r="I515" i="83"/>
  <c r="G515" i="83"/>
  <c r="E515" i="83"/>
  <c r="C515" i="83"/>
  <c r="R514" i="83"/>
  <c r="S514" i="83"/>
  <c r="Q514" i="83"/>
  <c r="O514" i="83"/>
  <c r="M514" i="83"/>
  <c r="K514" i="83"/>
  <c r="I514" i="83"/>
  <c r="G514" i="83"/>
  <c r="E514" i="83"/>
  <c r="C514" i="83"/>
  <c r="R513" i="83"/>
  <c r="S513" i="83"/>
  <c r="Q513" i="83"/>
  <c r="O513" i="83"/>
  <c r="M513" i="83"/>
  <c r="K513" i="83"/>
  <c r="I513" i="83"/>
  <c r="G513" i="83"/>
  <c r="E513" i="83"/>
  <c r="C513" i="83"/>
  <c r="R512" i="83"/>
  <c r="S512" i="83"/>
  <c r="Q512" i="83"/>
  <c r="O512" i="83"/>
  <c r="M512" i="83"/>
  <c r="K512" i="83"/>
  <c r="I512" i="83"/>
  <c r="G512" i="83"/>
  <c r="E512" i="83"/>
  <c r="C512" i="83"/>
  <c r="R511" i="83"/>
  <c r="S511" i="83"/>
  <c r="Q511" i="83"/>
  <c r="O511" i="83"/>
  <c r="M511" i="83"/>
  <c r="K511" i="83"/>
  <c r="I511" i="83"/>
  <c r="G511" i="83"/>
  <c r="E511" i="83"/>
  <c r="C511" i="83"/>
  <c r="R510" i="83"/>
  <c r="S510" i="83"/>
  <c r="Q510" i="83"/>
  <c r="O510" i="83"/>
  <c r="M510" i="83"/>
  <c r="K510" i="83"/>
  <c r="I510" i="83"/>
  <c r="G510" i="83"/>
  <c r="E510" i="83"/>
  <c r="C510" i="83"/>
  <c r="R509" i="83"/>
  <c r="S509" i="83"/>
  <c r="Q509" i="83"/>
  <c r="O509" i="83"/>
  <c r="M509" i="83"/>
  <c r="K509" i="83"/>
  <c r="I509" i="83"/>
  <c r="G509" i="83"/>
  <c r="E509" i="83"/>
  <c r="C509" i="83"/>
  <c r="R508" i="83"/>
  <c r="S508" i="83"/>
  <c r="Q508" i="83"/>
  <c r="O508" i="83"/>
  <c r="M508" i="83"/>
  <c r="K508" i="83"/>
  <c r="I508" i="83"/>
  <c r="G508" i="83"/>
  <c r="E508" i="83"/>
  <c r="C508" i="83"/>
  <c r="R507" i="83"/>
  <c r="S507" i="83"/>
  <c r="Q507" i="83"/>
  <c r="O507" i="83"/>
  <c r="M507" i="83"/>
  <c r="K507" i="83"/>
  <c r="I507" i="83"/>
  <c r="G507" i="83"/>
  <c r="E507" i="83"/>
  <c r="C507" i="83"/>
  <c r="R506" i="83"/>
  <c r="S506" i="83"/>
  <c r="Q506" i="83"/>
  <c r="O506" i="83"/>
  <c r="M506" i="83"/>
  <c r="K506" i="83"/>
  <c r="I506" i="83"/>
  <c r="G506" i="83"/>
  <c r="E506" i="83"/>
  <c r="C506" i="83"/>
  <c r="R505" i="83"/>
  <c r="S505" i="83"/>
  <c r="Q505" i="83"/>
  <c r="O505" i="83"/>
  <c r="M505" i="83"/>
  <c r="K505" i="83"/>
  <c r="I505" i="83"/>
  <c r="G505" i="83"/>
  <c r="E505" i="83"/>
  <c r="C505" i="83"/>
  <c r="R504" i="83"/>
  <c r="S504" i="83"/>
  <c r="Q504" i="83"/>
  <c r="O504" i="83"/>
  <c r="M504" i="83"/>
  <c r="K504" i="83"/>
  <c r="I504" i="83"/>
  <c r="G504" i="83"/>
  <c r="E504" i="83"/>
  <c r="C504" i="83"/>
  <c r="R503" i="83"/>
  <c r="S503" i="83"/>
  <c r="Q503" i="83"/>
  <c r="O503" i="83"/>
  <c r="M503" i="83"/>
  <c r="K503" i="83"/>
  <c r="I503" i="83"/>
  <c r="G503" i="83"/>
  <c r="E503" i="83"/>
  <c r="C503" i="83"/>
  <c r="R502" i="83"/>
  <c r="S502" i="83"/>
  <c r="Q502" i="83"/>
  <c r="O502" i="83"/>
  <c r="M502" i="83"/>
  <c r="K502" i="83"/>
  <c r="I502" i="83"/>
  <c r="G502" i="83"/>
  <c r="E502" i="83"/>
  <c r="C502" i="83"/>
  <c r="R501" i="83"/>
  <c r="S501" i="83"/>
  <c r="Q501" i="83"/>
  <c r="O501" i="83"/>
  <c r="M501" i="83"/>
  <c r="K501" i="83"/>
  <c r="I501" i="83"/>
  <c r="G501" i="83"/>
  <c r="E501" i="83"/>
  <c r="C501" i="83"/>
  <c r="R500" i="83"/>
  <c r="S500" i="83"/>
  <c r="Q500" i="83"/>
  <c r="O500" i="83"/>
  <c r="M500" i="83"/>
  <c r="K500" i="83"/>
  <c r="I500" i="83"/>
  <c r="G500" i="83"/>
  <c r="E500" i="83"/>
  <c r="C500" i="83"/>
  <c r="R499" i="83"/>
  <c r="S499" i="83"/>
  <c r="Q499" i="83"/>
  <c r="O499" i="83"/>
  <c r="M499" i="83"/>
  <c r="K499" i="83"/>
  <c r="I499" i="83"/>
  <c r="G499" i="83"/>
  <c r="E499" i="83"/>
  <c r="C499" i="83"/>
  <c r="R498" i="83"/>
  <c r="S498" i="83"/>
  <c r="Q498" i="83"/>
  <c r="O498" i="83"/>
  <c r="M498" i="83"/>
  <c r="K498" i="83"/>
  <c r="I498" i="83"/>
  <c r="G498" i="83"/>
  <c r="E498" i="83"/>
  <c r="C498" i="83"/>
  <c r="R497" i="83"/>
  <c r="S497" i="83"/>
  <c r="Q497" i="83"/>
  <c r="O497" i="83"/>
  <c r="M497" i="83"/>
  <c r="K497" i="83"/>
  <c r="I497" i="83"/>
  <c r="G497" i="83"/>
  <c r="E497" i="83"/>
  <c r="C497" i="83"/>
  <c r="R496" i="83"/>
  <c r="S496" i="83"/>
  <c r="Q496" i="83"/>
  <c r="O496" i="83"/>
  <c r="M496" i="83"/>
  <c r="K496" i="83"/>
  <c r="I496" i="83"/>
  <c r="G496" i="83"/>
  <c r="E496" i="83"/>
  <c r="C496" i="83"/>
  <c r="R495" i="83"/>
  <c r="S495" i="83"/>
  <c r="Q495" i="83"/>
  <c r="O495" i="83"/>
  <c r="M495" i="83"/>
  <c r="K495" i="83"/>
  <c r="I495" i="83"/>
  <c r="G495" i="83"/>
  <c r="E495" i="83"/>
  <c r="C495" i="83"/>
  <c r="R494" i="83"/>
  <c r="S494" i="83"/>
  <c r="Q494" i="83"/>
  <c r="O494" i="83"/>
  <c r="M494" i="83"/>
  <c r="K494" i="83"/>
  <c r="I494" i="83"/>
  <c r="G494" i="83"/>
  <c r="E494" i="83"/>
  <c r="C494" i="83"/>
  <c r="R493" i="83"/>
  <c r="S493" i="83"/>
  <c r="Q493" i="83"/>
  <c r="O493" i="83"/>
  <c r="M493" i="83"/>
  <c r="K493" i="83"/>
  <c r="I493" i="83"/>
  <c r="G493" i="83"/>
  <c r="E493" i="83"/>
  <c r="C493" i="83"/>
  <c r="R492" i="83"/>
  <c r="S492" i="83"/>
  <c r="Q492" i="83"/>
  <c r="O492" i="83"/>
  <c r="M492" i="83"/>
  <c r="K492" i="83"/>
  <c r="I492" i="83"/>
  <c r="G492" i="83"/>
  <c r="E492" i="83"/>
  <c r="C492" i="83"/>
  <c r="R491" i="83"/>
  <c r="S491" i="83"/>
  <c r="Q491" i="83"/>
  <c r="O491" i="83"/>
  <c r="M491" i="83"/>
  <c r="K491" i="83"/>
  <c r="I491" i="83"/>
  <c r="G491" i="83"/>
  <c r="E491" i="83"/>
  <c r="C491" i="83"/>
  <c r="R490" i="83"/>
  <c r="S490" i="83"/>
  <c r="Q490" i="83"/>
  <c r="O490" i="83"/>
  <c r="M490" i="83"/>
  <c r="K490" i="83"/>
  <c r="I490" i="83"/>
  <c r="G490" i="83"/>
  <c r="E490" i="83"/>
  <c r="C490" i="83"/>
  <c r="R489" i="83"/>
  <c r="S489" i="83"/>
  <c r="Q489" i="83"/>
  <c r="O489" i="83"/>
  <c r="M489" i="83"/>
  <c r="K489" i="83"/>
  <c r="I489" i="83"/>
  <c r="G489" i="83"/>
  <c r="E489" i="83"/>
  <c r="C489" i="83"/>
  <c r="R488" i="83"/>
  <c r="S488" i="83"/>
  <c r="Q488" i="83"/>
  <c r="O488" i="83"/>
  <c r="M488" i="83"/>
  <c r="K488" i="83"/>
  <c r="I488" i="83"/>
  <c r="G488" i="83"/>
  <c r="E488" i="83"/>
  <c r="C488" i="83"/>
  <c r="R487" i="83"/>
  <c r="S487" i="83"/>
  <c r="Q487" i="83"/>
  <c r="O487" i="83"/>
  <c r="M487" i="83"/>
  <c r="K487" i="83"/>
  <c r="I487" i="83"/>
  <c r="G487" i="83"/>
  <c r="E487" i="83"/>
  <c r="C487" i="83"/>
  <c r="R486" i="83"/>
  <c r="S486" i="83"/>
  <c r="Q486" i="83"/>
  <c r="O486" i="83"/>
  <c r="M486" i="83"/>
  <c r="K486" i="83"/>
  <c r="I486" i="83"/>
  <c r="G486" i="83"/>
  <c r="E486" i="83"/>
  <c r="C486" i="83"/>
  <c r="R485" i="83"/>
  <c r="S485" i="83"/>
  <c r="Q485" i="83"/>
  <c r="O485" i="83"/>
  <c r="M485" i="83"/>
  <c r="K485" i="83"/>
  <c r="I485" i="83"/>
  <c r="G485" i="83"/>
  <c r="E485" i="83"/>
  <c r="C485" i="83"/>
  <c r="R484" i="83"/>
  <c r="S484" i="83"/>
  <c r="Q484" i="83"/>
  <c r="O484" i="83"/>
  <c r="M484" i="83"/>
  <c r="K484" i="83"/>
  <c r="I484" i="83"/>
  <c r="G484" i="83"/>
  <c r="E484" i="83"/>
  <c r="C484" i="83"/>
  <c r="R483" i="83"/>
  <c r="S483" i="83"/>
  <c r="Q483" i="83"/>
  <c r="O483" i="83"/>
  <c r="M483" i="83"/>
  <c r="K483" i="83"/>
  <c r="I483" i="83"/>
  <c r="G483" i="83"/>
  <c r="E483" i="83"/>
  <c r="C483" i="83"/>
  <c r="R482" i="83"/>
  <c r="S482" i="83"/>
  <c r="Q482" i="83"/>
  <c r="O482" i="83"/>
  <c r="M482" i="83"/>
  <c r="K482" i="83"/>
  <c r="I482" i="83"/>
  <c r="G482" i="83"/>
  <c r="E482" i="83"/>
  <c r="C482" i="83"/>
  <c r="R481" i="83"/>
  <c r="S481" i="83"/>
  <c r="Q481" i="83"/>
  <c r="O481" i="83"/>
  <c r="M481" i="83"/>
  <c r="K481" i="83"/>
  <c r="I481" i="83"/>
  <c r="G481" i="83"/>
  <c r="E481" i="83"/>
  <c r="C481" i="83"/>
  <c r="R480" i="83"/>
  <c r="S480" i="83"/>
  <c r="Q480" i="83"/>
  <c r="O480" i="83"/>
  <c r="M480" i="83"/>
  <c r="K480" i="83"/>
  <c r="I480" i="83"/>
  <c r="G480" i="83"/>
  <c r="E480" i="83"/>
  <c r="C480" i="83"/>
  <c r="R479" i="83"/>
  <c r="S479" i="83"/>
  <c r="Q479" i="83"/>
  <c r="O479" i="83"/>
  <c r="M479" i="83"/>
  <c r="K479" i="83"/>
  <c r="I479" i="83"/>
  <c r="G479" i="83"/>
  <c r="E479" i="83"/>
  <c r="C479" i="83"/>
  <c r="R478" i="83"/>
  <c r="S478" i="83"/>
  <c r="Q478" i="83"/>
  <c r="O478" i="83"/>
  <c r="M478" i="83"/>
  <c r="K478" i="83"/>
  <c r="I478" i="83"/>
  <c r="G478" i="83"/>
  <c r="E478" i="83"/>
  <c r="C478" i="83"/>
  <c r="R477" i="83"/>
  <c r="S477" i="83"/>
  <c r="Q477" i="83"/>
  <c r="O477" i="83"/>
  <c r="M477" i="83"/>
  <c r="K477" i="83"/>
  <c r="I477" i="83"/>
  <c r="G477" i="83"/>
  <c r="E477" i="83"/>
  <c r="C477" i="83"/>
  <c r="R476" i="83"/>
  <c r="S476" i="83"/>
  <c r="Q476" i="83"/>
  <c r="O476" i="83"/>
  <c r="M476" i="83"/>
  <c r="K476" i="83"/>
  <c r="I476" i="83"/>
  <c r="G476" i="83"/>
  <c r="E476" i="83"/>
  <c r="C476" i="83"/>
  <c r="R475" i="83"/>
  <c r="S475" i="83"/>
  <c r="Q475" i="83"/>
  <c r="O475" i="83"/>
  <c r="M475" i="83"/>
  <c r="K475" i="83"/>
  <c r="I475" i="83"/>
  <c r="G475" i="83"/>
  <c r="E475" i="83"/>
  <c r="C475" i="83"/>
  <c r="R474" i="83"/>
  <c r="S474" i="83"/>
  <c r="Q474" i="83"/>
  <c r="O474" i="83"/>
  <c r="M474" i="83"/>
  <c r="K474" i="83"/>
  <c r="I474" i="83"/>
  <c r="G474" i="83"/>
  <c r="E474" i="83"/>
  <c r="C474" i="83"/>
  <c r="R473" i="83"/>
  <c r="S473" i="83"/>
  <c r="Q473" i="83"/>
  <c r="O473" i="83"/>
  <c r="M473" i="83"/>
  <c r="K473" i="83"/>
  <c r="I473" i="83"/>
  <c r="G473" i="83"/>
  <c r="E473" i="83"/>
  <c r="C473" i="83"/>
  <c r="R472" i="83"/>
  <c r="S472" i="83"/>
  <c r="Q472" i="83"/>
  <c r="O472" i="83"/>
  <c r="M472" i="83"/>
  <c r="K472" i="83"/>
  <c r="I472" i="83"/>
  <c r="G472" i="83"/>
  <c r="E472" i="83"/>
  <c r="C472" i="83"/>
  <c r="R471" i="83"/>
  <c r="S471" i="83"/>
  <c r="Q471" i="83"/>
  <c r="O471" i="83"/>
  <c r="M471" i="83"/>
  <c r="K471" i="83"/>
  <c r="I471" i="83"/>
  <c r="G471" i="83"/>
  <c r="E471" i="83"/>
  <c r="C471" i="83"/>
  <c r="R470" i="83"/>
  <c r="S470" i="83"/>
  <c r="Q470" i="83"/>
  <c r="O470" i="83"/>
  <c r="M470" i="83"/>
  <c r="K470" i="83"/>
  <c r="I470" i="83"/>
  <c r="G470" i="83"/>
  <c r="E470" i="83"/>
  <c r="C470" i="83"/>
  <c r="R469" i="83"/>
  <c r="S469" i="83"/>
  <c r="Q469" i="83"/>
  <c r="O469" i="83"/>
  <c r="M469" i="83"/>
  <c r="K469" i="83"/>
  <c r="I469" i="83"/>
  <c r="G469" i="83"/>
  <c r="E469" i="83"/>
  <c r="C469" i="83"/>
  <c r="R468" i="83"/>
  <c r="S468" i="83"/>
  <c r="Q468" i="83"/>
  <c r="O468" i="83"/>
  <c r="M468" i="83"/>
  <c r="K468" i="83"/>
  <c r="I468" i="83"/>
  <c r="G468" i="83"/>
  <c r="E468" i="83"/>
  <c r="C468" i="83"/>
  <c r="R467" i="83"/>
  <c r="S467" i="83"/>
  <c r="Q467" i="83"/>
  <c r="O467" i="83"/>
  <c r="M467" i="83"/>
  <c r="K467" i="83"/>
  <c r="I467" i="83"/>
  <c r="G467" i="83"/>
  <c r="E467" i="83"/>
  <c r="C467" i="83"/>
  <c r="R466" i="83"/>
  <c r="S466" i="83"/>
  <c r="Q466" i="83"/>
  <c r="O466" i="83"/>
  <c r="M466" i="83"/>
  <c r="K466" i="83"/>
  <c r="I466" i="83"/>
  <c r="G466" i="83"/>
  <c r="E466" i="83"/>
  <c r="C466" i="83"/>
  <c r="R465" i="83"/>
  <c r="S465" i="83"/>
  <c r="Q465" i="83"/>
  <c r="O465" i="83"/>
  <c r="M465" i="83"/>
  <c r="K465" i="83"/>
  <c r="I465" i="83"/>
  <c r="G465" i="83"/>
  <c r="E465" i="83"/>
  <c r="C465" i="83"/>
  <c r="R464" i="83"/>
  <c r="S464" i="83"/>
  <c r="Q464" i="83"/>
  <c r="O464" i="83"/>
  <c r="M464" i="83"/>
  <c r="K464" i="83"/>
  <c r="I464" i="83"/>
  <c r="G464" i="83"/>
  <c r="E464" i="83"/>
  <c r="C464" i="83"/>
  <c r="R463" i="83"/>
  <c r="S463" i="83"/>
  <c r="Q463" i="83"/>
  <c r="O463" i="83"/>
  <c r="M463" i="83"/>
  <c r="K463" i="83"/>
  <c r="I463" i="83"/>
  <c r="G463" i="83"/>
  <c r="E463" i="83"/>
  <c r="C463" i="83"/>
  <c r="R462" i="83"/>
  <c r="S462" i="83"/>
  <c r="Q462" i="83"/>
  <c r="O462" i="83"/>
  <c r="M462" i="83"/>
  <c r="K462" i="83"/>
  <c r="I462" i="83"/>
  <c r="G462" i="83"/>
  <c r="E462" i="83"/>
  <c r="C462" i="83"/>
  <c r="R461" i="83"/>
  <c r="S461" i="83"/>
  <c r="Q461" i="83"/>
  <c r="O461" i="83"/>
  <c r="M461" i="83"/>
  <c r="K461" i="83"/>
  <c r="I461" i="83"/>
  <c r="G461" i="83"/>
  <c r="E461" i="83"/>
  <c r="C461" i="83"/>
  <c r="R460" i="83"/>
  <c r="S460" i="83"/>
  <c r="Q460" i="83"/>
  <c r="O460" i="83"/>
  <c r="M460" i="83"/>
  <c r="K460" i="83"/>
  <c r="I460" i="83"/>
  <c r="G460" i="83"/>
  <c r="E460" i="83"/>
  <c r="C460" i="83"/>
  <c r="R459" i="83"/>
  <c r="S459" i="83"/>
  <c r="Q459" i="83"/>
  <c r="O459" i="83"/>
  <c r="M459" i="83"/>
  <c r="K459" i="83"/>
  <c r="I459" i="83"/>
  <c r="G459" i="83"/>
  <c r="E459" i="83"/>
  <c r="C459" i="83"/>
  <c r="R458" i="83"/>
  <c r="S458" i="83"/>
  <c r="Q458" i="83"/>
  <c r="O458" i="83"/>
  <c r="M458" i="83"/>
  <c r="K458" i="83"/>
  <c r="I458" i="83"/>
  <c r="G458" i="83"/>
  <c r="E458" i="83"/>
  <c r="C458" i="83"/>
  <c r="R457" i="83"/>
  <c r="S457" i="83"/>
  <c r="Q457" i="83"/>
  <c r="O457" i="83"/>
  <c r="M457" i="83"/>
  <c r="K457" i="83"/>
  <c r="I457" i="83"/>
  <c r="G457" i="83"/>
  <c r="E457" i="83"/>
  <c r="C457" i="83"/>
  <c r="R456" i="83"/>
  <c r="S456" i="83"/>
  <c r="Q456" i="83"/>
  <c r="O456" i="83"/>
  <c r="M456" i="83"/>
  <c r="K456" i="83"/>
  <c r="I456" i="83"/>
  <c r="G456" i="83"/>
  <c r="E456" i="83"/>
  <c r="C456" i="83"/>
  <c r="R455" i="83"/>
  <c r="S455" i="83"/>
  <c r="Q455" i="83"/>
  <c r="O455" i="83"/>
  <c r="M455" i="83"/>
  <c r="K455" i="83"/>
  <c r="I455" i="83"/>
  <c r="G455" i="83"/>
  <c r="E455" i="83"/>
  <c r="C455" i="83"/>
  <c r="R454" i="83"/>
  <c r="S454" i="83"/>
  <c r="Q454" i="83"/>
  <c r="O454" i="83"/>
  <c r="M454" i="83"/>
  <c r="K454" i="83"/>
  <c r="I454" i="83"/>
  <c r="G454" i="83"/>
  <c r="E454" i="83"/>
  <c r="C454" i="83"/>
  <c r="R453" i="83"/>
  <c r="S453" i="83"/>
  <c r="Q453" i="83"/>
  <c r="O453" i="83"/>
  <c r="M453" i="83"/>
  <c r="K453" i="83"/>
  <c r="I453" i="83"/>
  <c r="G453" i="83"/>
  <c r="E453" i="83"/>
  <c r="C453" i="83"/>
  <c r="R452" i="83"/>
  <c r="S452" i="83"/>
  <c r="Q452" i="83"/>
  <c r="O452" i="83"/>
  <c r="M452" i="83"/>
  <c r="K452" i="83"/>
  <c r="I452" i="83"/>
  <c r="G452" i="83"/>
  <c r="E452" i="83"/>
  <c r="C452" i="83"/>
  <c r="R451" i="83"/>
  <c r="S451" i="83"/>
  <c r="Q451" i="83"/>
  <c r="O451" i="83"/>
  <c r="M451" i="83"/>
  <c r="K451" i="83"/>
  <c r="I451" i="83"/>
  <c r="G451" i="83"/>
  <c r="E451" i="83"/>
  <c r="C451" i="83"/>
  <c r="R450" i="83"/>
  <c r="S450" i="83"/>
  <c r="Q450" i="83"/>
  <c r="O450" i="83"/>
  <c r="M450" i="83"/>
  <c r="K450" i="83"/>
  <c r="I450" i="83"/>
  <c r="G450" i="83"/>
  <c r="E450" i="83"/>
  <c r="C450" i="83"/>
  <c r="R449" i="83"/>
  <c r="S449" i="83"/>
  <c r="Q449" i="83"/>
  <c r="O449" i="83"/>
  <c r="M449" i="83"/>
  <c r="K449" i="83"/>
  <c r="I449" i="83"/>
  <c r="G449" i="83"/>
  <c r="E449" i="83"/>
  <c r="C449" i="83"/>
  <c r="R448" i="83"/>
  <c r="S448" i="83"/>
  <c r="Q448" i="83"/>
  <c r="O448" i="83"/>
  <c r="M448" i="83"/>
  <c r="K448" i="83"/>
  <c r="I448" i="83"/>
  <c r="G448" i="83"/>
  <c r="E448" i="83"/>
  <c r="C448" i="83"/>
  <c r="R447" i="83"/>
  <c r="S447" i="83"/>
  <c r="Q447" i="83"/>
  <c r="O447" i="83"/>
  <c r="M447" i="83"/>
  <c r="K447" i="83"/>
  <c r="I447" i="83"/>
  <c r="G447" i="83"/>
  <c r="E447" i="83"/>
  <c r="C447" i="83"/>
  <c r="R446" i="83"/>
  <c r="S446" i="83"/>
  <c r="Q446" i="83"/>
  <c r="O446" i="83"/>
  <c r="M446" i="83"/>
  <c r="K446" i="83"/>
  <c r="I446" i="83"/>
  <c r="G446" i="83"/>
  <c r="E446" i="83"/>
  <c r="C446" i="83"/>
  <c r="R445" i="83"/>
  <c r="S445" i="83"/>
  <c r="Q445" i="83"/>
  <c r="O445" i="83"/>
  <c r="M445" i="83"/>
  <c r="K445" i="83"/>
  <c r="I445" i="83"/>
  <c r="G445" i="83"/>
  <c r="E445" i="83"/>
  <c r="C445" i="83"/>
  <c r="R444" i="83"/>
  <c r="S444" i="83"/>
  <c r="Q444" i="83"/>
  <c r="O444" i="83"/>
  <c r="M444" i="83"/>
  <c r="K444" i="83"/>
  <c r="I444" i="83"/>
  <c r="G444" i="83"/>
  <c r="E444" i="83"/>
  <c r="C444" i="83"/>
  <c r="R443" i="83"/>
  <c r="S443" i="83"/>
  <c r="Q443" i="83"/>
  <c r="O443" i="83"/>
  <c r="M443" i="83"/>
  <c r="K443" i="83"/>
  <c r="I443" i="83"/>
  <c r="G443" i="83"/>
  <c r="E443" i="83"/>
  <c r="C443" i="83"/>
  <c r="R442" i="83"/>
  <c r="S442" i="83"/>
  <c r="Q442" i="83"/>
  <c r="O442" i="83"/>
  <c r="M442" i="83"/>
  <c r="K442" i="83"/>
  <c r="I442" i="83"/>
  <c r="G442" i="83"/>
  <c r="E442" i="83"/>
  <c r="C442" i="83"/>
  <c r="R441" i="83"/>
  <c r="S441" i="83"/>
  <c r="Q441" i="83"/>
  <c r="O441" i="83"/>
  <c r="M441" i="83"/>
  <c r="K441" i="83"/>
  <c r="I441" i="83"/>
  <c r="G441" i="83"/>
  <c r="E441" i="83"/>
  <c r="C441" i="83"/>
  <c r="R440" i="83"/>
  <c r="S440" i="83"/>
  <c r="Q440" i="83"/>
  <c r="O440" i="83"/>
  <c r="M440" i="83"/>
  <c r="K440" i="83"/>
  <c r="I440" i="83"/>
  <c r="G440" i="83"/>
  <c r="E440" i="83"/>
  <c r="C440" i="83"/>
  <c r="R439" i="83"/>
  <c r="S439" i="83"/>
  <c r="Q439" i="83"/>
  <c r="O439" i="83"/>
  <c r="M439" i="83"/>
  <c r="K439" i="83"/>
  <c r="I439" i="83"/>
  <c r="G439" i="83"/>
  <c r="E439" i="83"/>
  <c r="C439" i="83"/>
  <c r="R438" i="83"/>
  <c r="S438" i="83"/>
  <c r="Q438" i="83"/>
  <c r="O438" i="83"/>
  <c r="M438" i="83"/>
  <c r="K438" i="83"/>
  <c r="I438" i="83"/>
  <c r="G438" i="83"/>
  <c r="E438" i="83"/>
  <c r="C438" i="83"/>
  <c r="R437" i="83"/>
  <c r="S437" i="83"/>
  <c r="Q437" i="83"/>
  <c r="O437" i="83"/>
  <c r="M437" i="83"/>
  <c r="K437" i="83"/>
  <c r="I437" i="83"/>
  <c r="G437" i="83"/>
  <c r="E437" i="83"/>
  <c r="C437" i="83"/>
  <c r="R436" i="83"/>
  <c r="S436" i="83"/>
  <c r="Q436" i="83"/>
  <c r="O436" i="83"/>
  <c r="M436" i="83"/>
  <c r="K436" i="83"/>
  <c r="I436" i="83"/>
  <c r="G436" i="83"/>
  <c r="E436" i="83"/>
  <c r="C436" i="83"/>
  <c r="R435" i="83"/>
  <c r="S435" i="83"/>
  <c r="Q435" i="83"/>
  <c r="O435" i="83"/>
  <c r="M435" i="83"/>
  <c r="K435" i="83"/>
  <c r="I435" i="83"/>
  <c r="G435" i="83"/>
  <c r="E435" i="83"/>
  <c r="C435" i="83"/>
  <c r="R434" i="83"/>
  <c r="S434" i="83"/>
  <c r="Q434" i="83"/>
  <c r="O434" i="83"/>
  <c r="M434" i="83"/>
  <c r="K434" i="83"/>
  <c r="I434" i="83"/>
  <c r="G434" i="83"/>
  <c r="E434" i="83"/>
  <c r="C434" i="83"/>
  <c r="R433" i="83"/>
  <c r="S433" i="83"/>
  <c r="Q433" i="83"/>
  <c r="O433" i="83"/>
  <c r="M433" i="83"/>
  <c r="K433" i="83"/>
  <c r="I433" i="83"/>
  <c r="G433" i="83"/>
  <c r="E433" i="83"/>
  <c r="C433" i="83"/>
  <c r="R432" i="83"/>
  <c r="S432" i="83"/>
  <c r="Q432" i="83"/>
  <c r="O432" i="83"/>
  <c r="M432" i="83"/>
  <c r="K432" i="83"/>
  <c r="I432" i="83"/>
  <c r="G432" i="83"/>
  <c r="E432" i="83"/>
  <c r="C432" i="83"/>
  <c r="R431" i="83"/>
  <c r="S431" i="83"/>
  <c r="Q431" i="83"/>
  <c r="O431" i="83"/>
  <c r="M431" i="83"/>
  <c r="K431" i="83"/>
  <c r="I431" i="83"/>
  <c r="G431" i="83"/>
  <c r="E431" i="83"/>
  <c r="C431" i="83"/>
  <c r="R430" i="83"/>
  <c r="S430" i="83"/>
  <c r="Q430" i="83"/>
  <c r="O430" i="83"/>
  <c r="M430" i="83"/>
  <c r="K430" i="83"/>
  <c r="I430" i="83"/>
  <c r="G430" i="83"/>
  <c r="E430" i="83"/>
  <c r="C430" i="83"/>
  <c r="R429" i="83"/>
  <c r="S429" i="83"/>
  <c r="Q429" i="83"/>
  <c r="O429" i="83"/>
  <c r="M429" i="83"/>
  <c r="K429" i="83"/>
  <c r="I429" i="83"/>
  <c r="G429" i="83"/>
  <c r="E429" i="83"/>
  <c r="C429" i="83"/>
  <c r="R428" i="83"/>
  <c r="S428" i="83"/>
  <c r="Q428" i="83"/>
  <c r="O428" i="83"/>
  <c r="M428" i="83"/>
  <c r="K428" i="83"/>
  <c r="I428" i="83"/>
  <c r="G428" i="83"/>
  <c r="E428" i="83"/>
  <c r="C428" i="83"/>
  <c r="R427" i="83"/>
  <c r="S427" i="83"/>
  <c r="Q427" i="83"/>
  <c r="O427" i="83"/>
  <c r="M427" i="83"/>
  <c r="K427" i="83"/>
  <c r="I427" i="83"/>
  <c r="G427" i="83"/>
  <c r="E427" i="83"/>
  <c r="C427" i="83"/>
  <c r="R426" i="83"/>
  <c r="S426" i="83"/>
  <c r="Q426" i="83"/>
  <c r="O426" i="83"/>
  <c r="M426" i="83"/>
  <c r="K426" i="83"/>
  <c r="I426" i="83"/>
  <c r="G426" i="83"/>
  <c r="E426" i="83"/>
  <c r="C426" i="83"/>
  <c r="R425" i="83"/>
  <c r="S425" i="83"/>
  <c r="Q425" i="83"/>
  <c r="O425" i="83"/>
  <c r="M425" i="83"/>
  <c r="K425" i="83"/>
  <c r="I425" i="83"/>
  <c r="G425" i="83"/>
  <c r="E425" i="83"/>
  <c r="C425" i="83"/>
  <c r="R424" i="83"/>
  <c r="S424" i="83"/>
  <c r="Q424" i="83"/>
  <c r="O424" i="83"/>
  <c r="M424" i="83"/>
  <c r="K424" i="83"/>
  <c r="I424" i="83"/>
  <c r="G424" i="83"/>
  <c r="E424" i="83"/>
  <c r="C424" i="83"/>
  <c r="R423" i="83"/>
  <c r="S423" i="83"/>
  <c r="Q423" i="83"/>
  <c r="O423" i="83"/>
  <c r="M423" i="83"/>
  <c r="K423" i="83"/>
  <c r="I423" i="83"/>
  <c r="G423" i="83"/>
  <c r="E423" i="83"/>
  <c r="C423" i="83"/>
  <c r="R422" i="83"/>
  <c r="S422" i="83"/>
  <c r="Q422" i="83"/>
  <c r="O422" i="83"/>
  <c r="M422" i="83"/>
  <c r="K422" i="83"/>
  <c r="I422" i="83"/>
  <c r="G422" i="83"/>
  <c r="E422" i="83"/>
  <c r="C422" i="83"/>
  <c r="R421" i="83"/>
  <c r="S421" i="83"/>
  <c r="Q421" i="83"/>
  <c r="O421" i="83"/>
  <c r="M421" i="83"/>
  <c r="K421" i="83"/>
  <c r="I421" i="83"/>
  <c r="G421" i="83"/>
  <c r="E421" i="83"/>
  <c r="C421" i="83"/>
  <c r="R420" i="83"/>
  <c r="S420" i="83"/>
  <c r="Q420" i="83"/>
  <c r="O420" i="83"/>
  <c r="M420" i="83"/>
  <c r="K420" i="83"/>
  <c r="I420" i="83"/>
  <c r="G420" i="83"/>
  <c r="E420" i="83"/>
  <c r="C420" i="83"/>
  <c r="R419" i="83"/>
  <c r="S419" i="83"/>
  <c r="Q419" i="83"/>
  <c r="O419" i="83"/>
  <c r="M419" i="83"/>
  <c r="K419" i="83"/>
  <c r="I419" i="83"/>
  <c r="G419" i="83"/>
  <c r="E419" i="83"/>
  <c r="C419" i="83"/>
  <c r="R418" i="83"/>
  <c r="S418" i="83"/>
  <c r="Q418" i="83"/>
  <c r="O418" i="83"/>
  <c r="M418" i="83"/>
  <c r="K418" i="83"/>
  <c r="I418" i="83"/>
  <c r="G418" i="83"/>
  <c r="E418" i="83"/>
  <c r="C418" i="83"/>
  <c r="R417" i="83"/>
  <c r="S417" i="83"/>
  <c r="Q417" i="83"/>
  <c r="O417" i="83"/>
  <c r="M417" i="83"/>
  <c r="K417" i="83"/>
  <c r="I417" i="83"/>
  <c r="G417" i="83"/>
  <c r="E417" i="83"/>
  <c r="C417" i="83"/>
  <c r="R416" i="83"/>
  <c r="S416" i="83"/>
  <c r="Q416" i="83"/>
  <c r="O416" i="83"/>
  <c r="M416" i="83"/>
  <c r="K416" i="83"/>
  <c r="I416" i="83"/>
  <c r="G416" i="83"/>
  <c r="E416" i="83"/>
  <c r="C416" i="83"/>
  <c r="R415" i="83"/>
  <c r="S415" i="83"/>
  <c r="Q415" i="83"/>
  <c r="O415" i="83"/>
  <c r="M415" i="83"/>
  <c r="K415" i="83"/>
  <c r="I415" i="83"/>
  <c r="G415" i="83"/>
  <c r="E415" i="83"/>
  <c r="C415" i="83"/>
  <c r="R414" i="83"/>
  <c r="S414" i="83"/>
  <c r="Q414" i="83"/>
  <c r="O414" i="83"/>
  <c r="M414" i="83"/>
  <c r="K414" i="83"/>
  <c r="I414" i="83"/>
  <c r="G414" i="83"/>
  <c r="E414" i="83"/>
  <c r="C414" i="83"/>
  <c r="R413" i="83"/>
  <c r="S413" i="83"/>
  <c r="Q413" i="83"/>
  <c r="O413" i="83"/>
  <c r="M413" i="83"/>
  <c r="K413" i="83"/>
  <c r="I413" i="83"/>
  <c r="G413" i="83"/>
  <c r="E413" i="83"/>
  <c r="C413" i="83"/>
  <c r="R412" i="83"/>
  <c r="S412" i="83"/>
  <c r="Q412" i="83"/>
  <c r="O412" i="83"/>
  <c r="M412" i="83"/>
  <c r="K412" i="83"/>
  <c r="I412" i="83"/>
  <c r="G412" i="83"/>
  <c r="E412" i="83"/>
  <c r="C412" i="83"/>
  <c r="R411" i="83"/>
  <c r="S411" i="83"/>
  <c r="Q411" i="83"/>
  <c r="O411" i="83"/>
  <c r="M411" i="83"/>
  <c r="K411" i="83"/>
  <c r="I411" i="83"/>
  <c r="G411" i="83"/>
  <c r="E411" i="83"/>
  <c r="C411" i="83"/>
  <c r="R410" i="83"/>
  <c r="S410" i="83"/>
  <c r="Q410" i="83"/>
  <c r="O410" i="83"/>
  <c r="M410" i="83"/>
  <c r="K410" i="83"/>
  <c r="I410" i="83"/>
  <c r="G410" i="83"/>
  <c r="E410" i="83"/>
  <c r="C410" i="83"/>
  <c r="R409" i="83"/>
  <c r="S409" i="83"/>
  <c r="Q409" i="83"/>
  <c r="O409" i="83"/>
  <c r="M409" i="83"/>
  <c r="K409" i="83"/>
  <c r="I409" i="83"/>
  <c r="G409" i="83"/>
  <c r="E409" i="83"/>
  <c r="C409" i="83"/>
  <c r="R408" i="83"/>
  <c r="S408" i="83"/>
  <c r="Q408" i="83"/>
  <c r="O408" i="83"/>
  <c r="M408" i="83"/>
  <c r="K408" i="83"/>
  <c r="I408" i="83"/>
  <c r="G408" i="83"/>
  <c r="E408" i="83"/>
  <c r="C408" i="83"/>
  <c r="R407" i="83"/>
  <c r="S407" i="83"/>
  <c r="Q407" i="83"/>
  <c r="O407" i="83"/>
  <c r="M407" i="83"/>
  <c r="K407" i="83"/>
  <c r="I407" i="83"/>
  <c r="G407" i="83"/>
  <c r="E407" i="83"/>
  <c r="C407" i="83"/>
  <c r="R406" i="83"/>
  <c r="S406" i="83"/>
  <c r="Q406" i="83"/>
  <c r="O406" i="83"/>
  <c r="M406" i="83"/>
  <c r="K406" i="83"/>
  <c r="I406" i="83"/>
  <c r="G406" i="83"/>
  <c r="E406" i="83"/>
  <c r="C406" i="83"/>
  <c r="R405" i="83"/>
  <c r="S405" i="83"/>
  <c r="Q405" i="83"/>
  <c r="O405" i="83"/>
  <c r="M405" i="83"/>
  <c r="K405" i="83"/>
  <c r="I405" i="83"/>
  <c r="G405" i="83"/>
  <c r="E405" i="83"/>
  <c r="C405" i="83"/>
  <c r="R404" i="83"/>
  <c r="S404" i="83"/>
  <c r="Q404" i="83"/>
  <c r="O404" i="83"/>
  <c r="M404" i="83"/>
  <c r="K404" i="83"/>
  <c r="I404" i="83"/>
  <c r="G404" i="83"/>
  <c r="E404" i="83"/>
  <c r="C404" i="83"/>
  <c r="R403" i="83"/>
  <c r="S403" i="83"/>
  <c r="Q403" i="83"/>
  <c r="O403" i="83"/>
  <c r="M403" i="83"/>
  <c r="K403" i="83"/>
  <c r="I403" i="83"/>
  <c r="G403" i="83"/>
  <c r="E403" i="83"/>
  <c r="C403" i="83"/>
  <c r="R402" i="83"/>
  <c r="S402" i="83"/>
  <c r="Q402" i="83"/>
  <c r="O402" i="83"/>
  <c r="M402" i="83"/>
  <c r="K402" i="83"/>
  <c r="I402" i="83"/>
  <c r="G402" i="83"/>
  <c r="E402" i="83"/>
  <c r="C402" i="83"/>
  <c r="R401" i="83"/>
  <c r="S401" i="83"/>
  <c r="Q401" i="83"/>
  <c r="O401" i="83"/>
  <c r="M401" i="83"/>
  <c r="K401" i="83"/>
  <c r="I401" i="83"/>
  <c r="G401" i="83"/>
  <c r="E401" i="83"/>
  <c r="C401" i="83"/>
  <c r="R400" i="83"/>
  <c r="S400" i="83"/>
  <c r="Q400" i="83"/>
  <c r="O400" i="83"/>
  <c r="M400" i="83"/>
  <c r="K400" i="83"/>
  <c r="I400" i="83"/>
  <c r="G400" i="83"/>
  <c r="E400" i="83"/>
  <c r="C400" i="83"/>
  <c r="R399" i="83"/>
  <c r="S399" i="83"/>
  <c r="Q399" i="83"/>
  <c r="O399" i="83"/>
  <c r="M399" i="83"/>
  <c r="K399" i="83"/>
  <c r="I399" i="83"/>
  <c r="G399" i="83"/>
  <c r="E399" i="83"/>
  <c r="C399" i="83"/>
  <c r="R398" i="83"/>
  <c r="S398" i="83"/>
  <c r="Q398" i="83"/>
  <c r="O398" i="83"/>
  <c r="M398" i="83"/>
  <c r="K398" i="83"/>
  <c r="I398" i="83"/>
  <c r="G398" i="83"/>
  <c r="E398" i="83"/>
  <c r="C398" i="83"/>
  <c r="R397" i="83"/>
  <c r="S397" i="83"/>
  <c r="Q397" i="83"/>
  <c r="O397" i="83"/>
  <c r="M397" i="83"/>
  <c r="K397" i="83"/>
  <c r="I397" i="83"/>
  <c r="G397" i="83"/>
  <c r="E397" i="83"/>
  <c r="C397" i="83"/>
  <c r="R396" i="83"/>
  <c r="S396" i="83"/>
  <c r="Q396" i="83"/>
  <c r="O396" i="83"/>
  <c r="M396" i="83"/>
  <c r="K396" i="83"/>
  <c r="I396" i="83"/>
  <c r="G396" i="83"/>
  <c r="E396" i="83"/>
  <c r="C396" i="83"/>
  <c r="R395" i="83"/>
  <c r="S395" i="83"/>
  <c r="Q395" i="83"/>
  <c r="O395" i="83"/>
  <c r="M395" i="83"/>
  <c r="K395" i="83"/>
  <c r="I395" i="83"/>
  <c r="G395" i="83"/>
  <c r="E395" i="83"/>
  <c r="C395" i="83"/>
  <c r="R394" i="83"/>
  <c r="S394" i="83"/>
  <c r="Q394" i="83"/>
  <c r="O394" i="83"/>
  <c r="M394" i="83"/>
  <c r="K394" i="83"/>
  <c r="I394" i="83"/>
  <c r="G394" i="83"/>
  <c r="E394" i="83"/>
  <c r="C394" i="83"/>
  <c r="R393" i="83"/>
  <c r="S393" i="83"/>
  <c r="Q393" i="83"/>
  <c r="O393" i="83"/>
  <c r="M393" i="83"/>
  <c r="K393" i="83"/>
  <c r="I393" i="83"/>
  <c r="G393" i="83"/>
  <c r="E393" i="83"/>
  <c r="C393" i="83"/>
  <c r="R392" i="83"/>
  <c r="S392" i="83"/>
  <c r="Q392" i="83"/>
  <c r="O392" i="83"/>
  <c r="M392" i="83"/>
  <c r="K392" i="83"/>
  <c r="I392" i="83"/>
  <c r="G392" i="83"/>
  <c r="E392" i="83"/>
  <c r="C392" i="83"/>
  <c r="R391" i="83"/>
  <c r="S391" i="83"/>
  <c r="Q391" i="83"/>
  <c r="O391" i="83"/>
  <c r="M391" i="83"/>
  <c r="K391" i="83"/>
  <c r="I391" i="83"/>
  <c r="G391" i="83"/>
  <c r="E391" i="83"/>
  <c r="C391" i="83"/>
  <c r="R390" i="83"/>
  <c r="S390" i="83"/>
  <c r="Q390" i="83"/>
  <c r="O390" i="83"/>
  <c r="M390" i="83"/>
  <c r="K390" i="83"/>
  <c r="I390" i="83"/>
  <c r="G390" i="83"/>
  <c r="E390" i="83"/>
  <c r="C390" i="83"/>
  <c r="R389" i="83"/>
  <c r="S389" i="83"/>
  <c r="Q389" i="83"/>
  <c r="O389" i="83"/>
  <c r="M389" i="83"/>
  <c r="K389" i="83"/>
  <c r="I389" i="83"/>
  <c r="G389" i="83"/>
  <c r="E389" i="83"/>
  <c r="C389" i="83"/>
  <c r="R388" i="83"/>
  <c r="S388" i="83"/>
  <c r="Q388" i="83"/>
  <c r="O388" i="83"/>
  <c r="M388" i="83"/>
  <c r="K388" i="83"/>
  <c r="I388" i="83"/>
  <c r="G388" i="83"/>
  <c r="E388" i="83"/>
  <c r="C388" i="83"/>
  <c r="R387" i="83"/>
  <c r="S387" i="83"/>
  <c r="Q387" i="83"/>
  <c r="O387" i="83"/>
  <c r="M387" i="83"/>
  <c r="K387" i="83"/>
  <c r="I387" i="83"/>
  <c r="G387" i="83"/>
  <c r="E387" i="83"/>
  <c r="C387" i="83"/>
  <c r="R386" i="83"/>
  <c r="S386" i="83"/>
  <c r="Q386" i="83"/>
  <c r="O386" i="83"/>
  <c r="M386" i="83"/>
  <c r="K386" i="83"/>
  <c r="I386" i="83"/>
  <c r="G386" i="83"/>
  <c r="E386" i="83"/>
  <c r="C386" i="83"/>
  <c r="R385" i="83"/>
  <c r="S385" i="83"/>
  <c r="Q385" i="83"/>
  <c r="O385" i="83"/>
  <c r="M385" i="83"/>
  <c r="K385" i="83"/>
  <c r="I385" i="83"/>
  <c r="G385" i="83"/>
  <c r="E385" i="83"/>
  <c r="C385" i="83"/>
  <c r="R384" i="83"/>
  <c r="S384" i="83"/>
  <c r="Q384" i="83"/>
  <c r="O384" i="83"/>
  <c r="M384" i="83"/>
  <c r="K384" i="83"/>
  <c r="I384" i="83"/>
  <c r="G384" i="83"/>
  <c r="E384" i="83"/>
  <c r="C384" i="83"/>
  <c r="R383" i="83"/>
  <c r="S383" i="83"/>
  <c r="Q383" i="83"/>
  <c r="O383" i="83"/>
  <c r="M383" i="83"/>
  <c r="K383" i="83"/>
  <c r="I383" i="83"/>
  <c r="G383" i="83"/>
  <c r="E383" i="83"/>
  <c r="C383" i="83"/>
  <c r="R382" i="83"/>
  <c r="S382" i="83"/>
  <c r="Q382" i="83"/>
  <c r="O382" i="83"/>
  <c r="M382" i="83"/>
  <c r="K382" i="83"/>
  <c r="I382" i="83"/>
  <c r="G382" i="83"/>
  <c r="E382" i="83"/>
  <c r="C382" i="83"/>
  <c r="R381" i="83"/>
  <c r="S381" i="83"/>
  <c r="Q381" i="83"/>
  <c r="O381" i="83"/>
  <c r="M381" i="83"/>
  <c r="K381" i="83"/>
  <c r="I381" i="83"/>
  <c r="G381" i="83"/>
  <c r="E381" i="83"/>
  <c r="C381" i="83"/>
  <c r="R380" i="83"/>
  <c r="S380" i="83"/>
  <c r="Q380" i="83"/>
  <c r="O380" i="83"/>
  <c r="M380" i="83"/>
  <c r="K380" i="83"/>
  <c r="I380" i="83"/>
  <c r="G380" i="83"/>
  <c r="E380" i="83"/>
  <c r="C380" i="83"/>
  <c r="R379" i="83"/>
  <c r="S379" i="83"/>
  <c r="Q379" i="83"/>
  <c r="O379" i="83"/>
  <c r="M379" i="83"/>
  <c r="K379" i="83"/>
  <c r="I379" i="83"/>
  <c r="G379" i="83"/>
  <c r="E379" i="83"/>
  <c r="C379" i="83"/>
  <c r="R378" i="83"/>
  <c r="S378" i="83"/>
  <c r="Q378" i="83"/>
  <c r="O378" i="83"/>
  <c r="M378" i="83"/>
  <c r="K378" i="83"/>
  <c r="I378" i="83"/>
  <c r="G378" i="83"/>
  <c r="E378" i="83"/>
  <c r="C378" i="83"/>
  <c r="R377" i="83"/>
  <c r="S377" i="83"/>
  <c r="Q377" i="83"/>
  <c r="O377" i="83"/>
  <c r="M377" i="83"/>
  <c r="K377" i="83"/>
  <c r="I377" i="83"/>
  <c r="G377" i="83"/>
  <c r="E377" i="83"/>
  <c r="C377" i="83"/>
  <c r="R376" i="83"/>
  <c r="S376" i="83"/>
  <c r="Q376" i="83"/>
  <c r="O376" i="83"/>
  <c r="M376" i="83"/>
  <c r="K376" i="83"/>
  <c r="I376" i="83"/>
  <c r="G376" i="83"/>
  <c r="E376" i="83"/>
  <c r="C376" i="83"/>
  <c r="R375" i="83"/>
  <c r="S375" i="83"/>
  <c r="Q375" i="83"/>
  <c r="O375" i="83"/>
  <c r="M375" i="83"/>
  <c r="K375" i="83"/>
  <c r="I375" i="83"/>
  <c r="G375" i="83"/>
  <c r="E375" i="83"/>
  <c r="C375" i="83"/>
  <c r="R374" i="83"/>
  <c r="S374" i="83"/>
  <c r="Q374" i="83"/>
  <c r="O374" i="83"/>
  <c r="M374" i="83"/>
  <c r="K374" i="83"/>
  <c r="I374" i="83"/>
  <c r="G374" i="83"/>
  <c r="E374" i="83"/>
  <c r="C374" i="83"/>
  <c r="R373" i="83"/>
  <c r="S373" i="83"/>
  <c r="Q373" i="83"/>
  <c r="O373" i="83"/>
  <c r="M373" i="83"/>
  <c r="K373" i="83"/>
  <c r="I373" i="83"/>
  <c r="G373" i="83"/>
  <c r="E373" i="83"/>
  <c r="C373" i="83"/>
  <c r="R372" i="83"/>
  <c r="S372" i="83"/>
  <c r="Q372" i="83"/>
  <c r="O372" i="83"/>
  <c r="M372" i="83"/>
  <c r="K372" i="83"/>
  <c r="I372" i="83"/>
  <c r="G372" i="83"/>
  <c r="E372" i="83"/>
  <c r="C372" i="83"/>
  <c r="R371" i="83"/>
  <c r="S371" i="83"/>
  <c r="Q371" i="83"/>
  <c r="O371" i="83"/>
  <c r="M371" i="83"/>
  <c r="K371" i="83"/>
  <c r="I371" i="83"/>
  <c r="G371" i="83"/>
  <c r="E371" i="83"/>
  <c r="C371" i="83"/>
  <c r="R370" i="83"/>
  <c r="S370" i="83"/>
  <c r="Q370" i="83"/>
  <c r="O370" i="83"/>
  <c r="M370" i="83"/>
  <c r="K370" i="83"/>
  <c r="I370" i="83"/>
  <c r="G370" i="83"/>
  <c r="E370" i="83"/>
  <c r="C370" i="83"/>
  <c r="R369" i="83"/>
  <c r="S369" i="83"/>
  <c r="Q369" i="83"/>
  <c r="O369" i="83"/>
  <c r="M369" i="83"/>
  <c r="K369" i="83"/>
  <c r="I369" i="83"/>
  <c r="G369" i="83"/>
  <c r="E369" i="83"/>
  <c r="C369" i="83"/>
  <c r="R368" i="83"/>
  <c r="S368" i="83"/>
  <c r="Q368" i="83"/>
  <c r="O368" i="83"/>
  <c r="M368" i="83"/>
  <c r="K368" i="83"/>
  <c r="I368" i="83"/>
  <c r="G368" i="83"/>
  <c r="E368" i="83"/>
  <c r="C368" i="83"/>
  <c r="R367" i="83"/>
  <c r="S367" i="83"/>
  <c r="Q367" i="83"/>
  <c r="O367" i="83"/>
  <c r="M367" i="83"/>
  <c r="K367" i="83"/>
  <c r="I367" i="83"/>
  <c r="G367" i="83"/>
  <c r="E367" i="83"/>
  <c r="C367" i="83"/>
  <c r="R366" i="83"/>
  <c r="S366" i="83"/>
  <c r="Q366" i="83"/>
  <c r="O366" i="83"/>
  <c r="M366" i="83"/>
  <c r="K366" i="83"/>
  <c r="I366" i="83"/>
  <c r="G366" i="83"/>
  <c r="E366" i="83"/>
  <c r="C366" i="83"/>
  <c r="R365" i="83"/>
  <c r="S365" i="83"/>
  <c r="Q365" i="83"/>
  <c r="O365" i="83"/>
  <c r="M365" i="83"/>
  <c r="K365" i="83"/>
  <c r="I365" i="83"/>
  <c r="G365" i="83"/>
  <c r="E365" i="83"/>
  <c r="C365" i="83"/>
  <c r="R364" i="83"/>
  <c r="S364" i="83"/>
  <c r="Q364" i="83"/>
  <c r="O364" i="83"/>
  <c r="M364" i="83"/>
  <c r="K364" i="83"/>
  <c r="I364" i="83"/>
  <c r="G364" i="83"/>
  <c r="E364" i="83"/>
  <c r="C364" i="83"/>
  <c r="R363" i="83"/>
  <c r="S363" i="83"/>
  <c r="Q363" i="83"/>
  <c r="O363" i="83"/>
  <c r="M363" i="83"/>
  <c r="K363" i="83"/>
  <c r="I363" i="83"/>
  <c r="G363" i="83"/>
  <c r="E363" i="83"/>
  <c r="C363" i="83"/>
  <c r="R362" i="83"/>
  <c r="S362" i="83"/>
  <c r="Q362" i="83"/>
  <c r="O362" i="83"/>
  <c r="M362" i="83"/>
  <c r="K362" i="83"/>
  <c r="I362" i="83"/>
  <c r="G362" i="83"/>
  <c r="E362" i="83"/>
  <c r="C362" i="83"/>
  <c r="R361" i="83"/>
  <c r="S361" i="83"/>
  <c r="Q361" i="83"/>
  <c r="O361" i="83"/>
  <c r="M361" i="83"/>
  <c r="K361" i="83"/>
  <c r="I361" i="83"/>
  <c r="G361" i="83"/>
  <c r="E361" i="83"/>
  <c r="C361" i="83"/>
  <c r="R360" i="83"/>
  <c r="S360" i="83"/>
  <c r="Q360" i="83"/>
  <c r="O360" i="83"/>
  <c r="M360" i="83"/>
  <c r="K360" i="83"/>
  <c r="I360" i="83"/>
  <c r="G360" i="83"/>
  <c r="E360" i="83"/>
  <c r="C360" i="83"/>
  <c r="R359" i="83"/>
  <c r="S359" i="83"/>
  <c r="Q359" i="83"/>
  <c r="O359" i="83"/>
  <c r="M359" i="83"/>
  <c r="K359" i="83"/>
  <c r="I359" i="83"/>
  <c r="G359" i="83"/>
  <c r="E359" i="83"/>
  <c r="C359" i="83"/>
  <c r="R358" i="83"/>
  <c r="S358" i="83"/>
  <c r="Q358" i="83"/>
  <c r="O358" i="83"/>
  <c r="M358" i="83"/>
  <c r="K358" i="83"/>
  <c r="I358" i="83"/>
  <c r="G358" i="83"/>
  <c r="E358" i="83"/>
  <c r="C358" i="83"/>
  <c r="R357" i="83"/>
  <c r="S357" i="83"/>
  <c r="Q357" i="83"/>
  <c r="O357" i="83"/>
  <c r="M357" i="83"/>
  <c r="K357" i="83"/>
  <c r="I357" i="83"/>
  <c r="G357" i="83"/>
  <c r="E357" i="83"/>
  <c r="C357" i="83"/>
  <c r="R356" i="83"/>
  <c r="S356" i="83"/>
  <c r="Q356" i="83"/>
  <c r="O356" i="83"/>
  <c r="M356" i="83"/>
  <c r="K356" i="83"/>
  <c r="I356" i="83"/>
  <c r="G356" i="83"/>
  <c r="E356" i="83"/>
  <c r="C356" i="83"/>
  <c r="R355" i="83"/>
  <c r="S355" i="83"/>
  <c r="Q355" i="83"/>
  <c r="O355" i="83"/>
  <c r="M355" i="83"/>
  <c r="K355" i="83"/>
  <c r="I355" i="83"/>
  <c r="G355" i="83"/>
  <c r="E355" i="83"/>
  <c r="C355" i="83"/>
  <c r="R354" i="83"/>
  <c r="S354" i="83"/>
  <c r="Q354" i="83"/>
  <c r="O354" i="83"/>
  <c r="M354" i="83"/>
  <c r="K354" i="83"/>
  <c r="I354" i="83"/>
  <c r="G354" i="83"/>
  <c r="E354" i="83"/>
  <c r="C354" i="83"/>
  <c r="R353" i="83"/>
  <c r="S353" i="83"/>
  <c r="Q353" i="83"/>
  <c r="O353" i="83"/>
  <c r="M353" i="83"/>
  <c r="K353" i="83"/>
  <c r="I353" i="83"/>
  <c r="G353" i="83"/>
  <c r="E353" i="83"/>
  <c r="C353" i="83"/>
  <c r="R352" i="83"/>
  <c r="S352" i="83"/>
  <c r="Q352" i="83"/>
  <c r="O352" i="83"/>
  <c r="M352" i="83"/>
  <c r="K352" i="83"/>
  <c r="I352" i="83"/>
  <c r="G352" i="83"/>
  <c r="E352" i="83"/>
  <c r="C352" i="83"/>
  <c r="R351" i="83"/>
  <c r="S351" i="83"/>
  <c r="Q351" i="83"/>
  <c r="O351" i="83"/>
  <c r="M351" i="83"/>
  <c r="K351" i="83"/>
  <c r="I351" i="83"/>
  <c r="G351" i="83"/>
  <c r="E351" i="83"/>
  <c r="C351" i="83"/>
  <c r="R350" i="83"/>
  <c r="S350" i="83"/>
  <c r="Q350" i="83"/>
  <c r="O350" i="83"/>
  <c r="M350" i="83"/>
  <c r="K350" i="83"/>
  <c r="I350" i="83"/>
  <c r="G350" i="83"/>
  <c r="E350" i="83"/>
  <c r="C350" i="83"/>
  <c r="R349" i="83"/>
  <c r="S349" i="83"/>
  <c r="Q349" i="83"/>
  <c r="O349" i="83"/>
  <c r="M349" i="83"/>
  <c r="K349" i="83"/>
  <c r="I349" i="83"/>
  <c r="G349" i="83"/>
  <c r="E349" i="83"/>
  <c r="C349" i="83"/>
  <c r="R348" i="83"/>
  <c r="S348" i="83"/>
  <c r="Q348" i="83"/>
  <c r="O348" i="83"/>
  <c r="M348" i="83"/>
  <c r="K348" i="83"/>
  <c r="I348" i="83"/>
  <c r="G348" i="83"/>
  <c r="E348" i="83"/>
  <c r="C348" i="83"/>
  <c r="R347" i="83"/>
  <c r="S347" i="83"/>
  <c r="Q347" i="83"/>
  <c r="O347" i="83"/>
  <c r="M347" i="83"/>
  <c r="K347" i="83"/>
  <c r="I347" i="83"/>
  <c r="G347" i="83"/>
  <c r="E347" i="83"/>
  <c r="C347" i="83"/>
  <c r="R346" i="83"/>
  <c r="S346" i="83"/>
  <c r="Q346" i="83"/>
  <c r="O346" i="83"/>
  <c r="M346" i="83"/>
  <c r="K346" i="83"/>
  <c r="I346" i="83"/>
  <c r="G346" i="83"/>
  <c r="E346" i="83"/>
  <c r="C346" i="83"/>
  <c r="R345" i="83"/>
  <c r="S345" i="83"/>
  <c r="Q345" i="83"/>
  <c r="O345" i="83"/>
  <c r="M345" i="83"/>
  <c r="K345" i="83"/>
  <c r="I345" i="83"/>
  <c r="G345" i="83"/>
  <c r="E345" i="83"/>
  <c r="C345" i="83"/>
  <c r="R344" i="83"/>
  <c r="S344" i="83"/>
  <c r="Q344" i="83"/>
  <c r="O344" i="83"/>
  <c r="M344" i="83"/>
  <c r="K344" i="83"/>
  <c r="I344" i="83"/>
  <c r="G344" i="83"/>
  <c r="E344" i="83"/>
  <c r="C344" i="83"/>
  <c r="R343" i="83"/>
  <c r="S343" i="83"/>
  <c r="Q343" i="83"/>
  <c r="O343" i="83"/>
  <c r="M343" i="83"/>
  <c r="K343" i="83"/>
  <c r="I343" i="83"/>
  <c r="G343" i="83"/>
  <c r="E343" i="83"/>
  <c r="C343" i="83"/>
  <c r="R342" i="83"/>
  <c r="S342" i="83"/>
  <c r="Q342" i="83"/>
  <c r="O342" i="83"/>
  <c r="M342" i="83"/>
  <c r="K342" i="83"/>
  <c r="I342" i="83"/>
  <c r="G342" i="83"/>
  <c r="E342" i="83"/>
  <c r="C342" i="83"/>
  <c r="R341" i="83"/>
  <c r="S341" i="83"/>
  <c r="Q341" i="83"/>
  <c r="O341" i="83"/>
  <c r="M341" i="83"/>
  <c r="K341" i="83"/>
  <c r="I341" i="83"/>
  <c r="G341" i="83"/>
  <c r="E341" i="83"/>
  <c r="C341" i="83"/>
  <c r="R340" i="83"/>
  <c r="S340" i="83"/>
  <c r="Q340" i="83"/>
  <c r="O340" i="83"/>
  <c r="M340" i="83"/>
  <c r="K340" i="83"/>
  <c r="I340" i="83"/>
  <c r="G340" i="83"/>
  <c r="E340" i="83"/>
  <c r="C340" i="83"/>
  <c r="R339" i="83"/>
  <c r="S339" i="83"/>
  <c r="Q339" i="83"/>
  <c r="O339" i="83"/>
  <c r="M339" i="83"/>
  <c r="K339" i="83"/>
  <c r="I339" i="83"/>
  <c r="G339" i="83"/>
  <c r="E339" i="83"/>
  <c r="C339" i="83"/>
  <c r="R338" i="83"/>
  <c r="S338" i="83"/>
  <c r="Q338" i="83"/>
  <c r="O338" i="83"/>
  <c r="M338" i="83"/>
  <c r="K338" i="83"/>
  <c r="I338" i="83"/>
  <c r="G338" i="83"/>
  <c r="E338" i="83"/>
  <c r="C338" i="83"/>
  <c r="R337" i="83"/>
  <c r="S337" i="83"/>
  <c r="Q337" i="83"/>
  <c r="O337" i="83"/>
  <c r="M337" i="83"/>
  <c r="K337" i="83"/>
  <c r="I337" i="83"/>
  <c r="G337" i="83"/>
  <c r="E337" i="83"/>
  <c r="C337" i="83"/>
  <c r="R336" i="83"/>
  <c r="S336" i="83"/>
  <c r="Q336" i="83"/>
  <c r="O336" i="83"/>
  <c r="M336" i="83"/>
  <c r="K336" i="83"/>
  <c r="I336" i="83"/>
  <c r="G336" i="83"/>
  <c r="E336" i="83"/>
  <c r="C336" i="83"/>
  <c r="R335" i="83"/>
  <c r="S335" i="83"/>
  <c r="Q335" i="83"/>
  <c r="O335" i="83"/>
  <c r="M335" i="83"/>
  <c r="K335" i="83"/>
  <c r="I335" i="83"/>
  <c r="G335" i="83"/>
  <c r="E335" i="83"/>
  <c r="C335" i="83"/>
  <c r="R334" i="83"/>
  <c r="S334" i="83"/>
  <c r="Q334" i="83"/>
  <c r="O334" i="83"/>
  <c r="M334" i="83"/>
  <c r="K334" i="83"/>
  <c r="I334" i="83"/>
  <c r="G334" i="83"/>
  <c r="E334" i="83"/>
  <c r="C334" i="83"/>
  <c r="R333" i="83"/>
  <c r="S333" i="83"/>
  <c r="Q333" i="83"/>
  <c r="O333" i="83"/>
  <c r="M333" i="83"/>
  <c r="K333" i="83"/>
  <c r="I333" i="83"/>
  <c r="G333" i="83"/>
  <c r="E333" i="83"/>
  <c r="C333" i="83"/>
  <c r="R332" i="83"/>
  <c r="S332" i="83"/>
  <c r="Q332" i="83"/>
  <c r="O332" i="83"/>
  <c r="M332" i="83"/>
  <c r="K332" i="83"/>
  <c r="I332" i="83"/>
  <c r="G332" i="83"/>
  <c r="E332" i="83"/>
  <c r="C332" i="83"/>
  <c r="R331" i="83"/>
  <c r="S331" i="83"/>
  <c r="Q331" i="83"/>
  <c r="O331" i="83"/>
  <c r="M331" i="83"/>
  <c r="K331" i="83"/>
  <c r="I331" i="83"/>
  <c r="G331" i="83"/>
  <c r="E331" i="83"/>
  <c r="C331" i="83"/>
  <c r="R330" i="83"/>
  <c r="S330" i="83"/>
  <c r="Q330" i="83"/>
  <c r="O330" i="83"/>
  <c r="M330" i="83"/>
  <c r="K330" i="83"/>
  <c r="I330" i="83"/>
  <c r="G330" i="83"/>
  <c r="E330" i="83"/>
  <c r="C330" i="83"/>
  <c r="R329" i="83"/>
  <c r="S329" i="83"/>
  <c r="Q329" i="83"/>
  <c r="O329" i="83"/>
  <c r="M329" i="83"/>
  <c r="K329" i="83"/>
  <c r="I329" i="83"/>
  <c r="G329" i="83"/>
  <c r="E329" i="83"/>
  <c r="C329" i="83"/>
  <c r="R328" i="83"/>
  <c r="S328" i="83"/>
  <c r="Q328" i="83"/>
  <c r="O328" i="83"/>
  <c r="M328" i="83"/>
  <c r="K328" i="83"/>
  <c r="I328" i="83"/>
  <c r="G328" i="83"/>
  <c r="E328" i="83"/>
  <c r="C328" i="83"/>
  <c r="R327" i="83"/>
  <c r="S327" i="83"/>
  <c r="Q327" i="83"/>
  <c r="O327" i="83"/>
  <c r="M327" i="83"/>
  <c r="K327" i="83"/>
  <c r="I327" i="83"/>
  <c r="G327" i="83"/>
  <c r="E327" i="83"/>
  <c r="C327" i="83"/>
  <c r="R326" i="83"/>
  <c r="S326" i="83"/>
  <c r="Q326" i="83"/>
  <c r="O326" i="83"/>
  <c r="M326" i="83"/>
  <c r="K326" i="83"/>
  <c r="I326" i="83"/>
  <c r="G326" i="83"/>
  <c r="E326" i="83"/>
  <c r="C326" i="83"/>
  <c r="R325" i="83"/>
  <c r="S325" i="83"/>
  <c r="Q325" i="83"/>
  <c r="O325" i="83"/>
  <c r="M325" i="83"/>
  <c r="K325" i="83"/>
  <c r="I325" i="83"/>
  <c r="G325" i="83"/>
  <c r="E325" i="83"/>
  <c r="C325" i="83"/>
  <c r="R324" i="83"/>
  <c r="S324" i="83"/>
  <c r="Q324" i="83"/>
  <c r="O324" i="83"/>
  <c r="M324" i="83"/>
  <c r="K324" i="83"/>
  <c r="I324" i="83"/>
  <c r="G324" i="83"/>
  <c r="E324" i="83"/>
  <c r="C324" i="83"/>
  <c r="R323" i="83"/>
  <c r="S323" i="83"/>
  <c r="Q323" i="83"/>
  <c r="O323" i="83"/>
  <c r="M323" i="83"/>
  <c r="K323" i="83"/>
  <c r="I323" i="83"/>
  <c r="G323" i="83"/>
  <c r="E323" i="83"/>
  <c r="C323" i="83"/>
  <c r="R322" i="83"/>
  <c r="S322" i="83"/>
  <c r="Q322" i="83"/>
  <c r="O322" i="83"/>
  <c r="M322" i="83"/>
  <c r="K322" i="83"/>
  <c r="I322" i="83"/>
  <c r="G322" i="83"/>
  <c r="E322" i="83"/>
  <c r="C322" i="83"/>
  <c r="R321" i="83"/>
  <c r="S321" i="83"/>
  <c r="Q321" i="83"/>
  <c r="O321" i="83"/>
  <c r="M321" i="83"/>
  <c r="K321" i="83"/>
  <c r="I321" i="83"/>
  <c r="G321" i="83"/>
  <c r="E321" i="83"/>
  <c r="C321" i="83"/>
  <c r="R320" i="83"/>
  <c r="S320" i="83"/>
  <c r="Q320" i="83"/>
  <c r="O320" i="83"/>
  <c r="M320" i="83"/>
  <c r="K320" i="83"/>
  <c r="I320" i="83"/>
  <c r="G320" i="83"/>
  <c r="E320" i="83"/>
  <c r="C320" i="83"/>
  <c r="R319" i="83"/>
  <c r="S319" i="83"/>
  <c r="Q319" i="83"/>
  <c r="O319" i="83"/>
  <c r="M319" i="83"/>
  <c r="K319" i="83"/>
  <c r="I319" i="83"/>
  <c r="G319" i="83"/>
  <c r="E319" i="83"/>
  <c r="C319" i="83"/>
  <c r="R318" i="83"/>
  <c r="S318" i="83"/>
  <c r="Q318" i="83"/>
  <c r="O318" i="83"/>
  <c r="M318" i="83"/>
  <c r="K318" i="83"/>
  <c r="I318" i="83"/>
  <c r="G318" i="83"/>
  <c r="E318" i="83"/>
  <c r="C318" i="83"/>
  <c r="R317" i="83"/>
  <c r="S317" i="83"/>
  <c r="Q317" i="83"/>
  <c r="O317" i="83"/>
  <c r="M317" i="83"/>
  <c r="K317" i="83"/>
  <c r="I317" i="83"/>
  <c r="G317" i="83"/>
  <c r="E317" i="83"/>
  <c r="C317" i="83"/>
  <c r="R316" i="83"/>
  <c r="S316" i="83"/>
  <c r="Q316" i="83"/>
  <c r="O316" i="83"/>
  <c r="M316" i="83"/>
  <c r="K316" i="83"/>
  <c r="I316" i="83"/>
  <c r="G316" i="83"/>
  <c r="E316" i="83"/>
  <c r="C316" i="83"/>
  <c r="R315" i="83"/>
  <c r="S315" i="83"/>
  <c r="Q315" i="83"/>
  <c r="O315" i="83"/>
  <c r="M315" i="83"/>
  <c r="K315" i="83"/>
  <c r="I315" i="83"/>
  <c r="G315" i="83"/>
  <c r="E315" i="83"/>
  <c r="C315" i="83"/>
  <c r="R314" i="83"/>
  <c r="S314" i="83"/>
  <c r="Q314" i="83"/>
  <c r="O314" i="83"/>
  <c r="M314" i="83"/>
  <c r="K314" i="83"/>
  <c r="I314" i="83"/>
  <c r="G314" i="83"/>
  <c r="E314" i="83"/>
  <c r="C314" i="83"/>
  <c r="R313" i="83"/>
  <c r="S313" i="83"/>
  <c r="Q313" i="83"/>
  <c r="O313" i="83"/>
  <c r="M313" i="83"/>
  <c r="K313" i="83"/>
  <c r="I313" i="83"/>
  <c r="G313" i="83"/>
  <c r="E313" i="83"/>
  <c r="C313" i="83"/>
  <c r="R312" i="83"/>
  <c r="S312" i="83"/>
  <c r="Q312" i="83"/>
  <c r="O312" i="83"/>
  <c r="M312" i="83"/>
  <c r="K312" i="83"/>
  <c r="I312" i="83"/>
  <c r="G312" i="83"/>
  <c r="E312" i="83"/>
  <c r="C312" i="83"/>
  <c r="R311" i="83"/>
  <c r="S311" i="83"/>
  <c r="Q311" i="83"/>
  <c r="O311" i="83"/>
  <c r="M311" i="83"/>
  <c r="K311" i="83"/>
  <c r="I311" i="83"/>
  <c r="G311" i="83"/>
  <c r="E311" i="83"/>
  <c r="C311" i="83"/>
  <c r="R310" i="83"/>
  <c r="S310" i="83"/>
  <c r="Q310" i="83"/>
  <c r="O310" i="83"/>
  <c r="M310" i="83"/>
  <c r="K310" i="83"/>
  <c r="I310" i="83"/>
  <c r="G310" i="83"/>
  <c r="E310" i="83"/>
  <c r="C310" i="83"/>
  <c r="R309" i="83"/>
  <c r="S309" i="83"/>
  <c r="Q309" i="83"/>
  <c r="O309" i="83"/>
  <c r="M309" i="83"/>
  <c r="K309" i="83"/>
  <c r="I309" i="83"/>
  <c r="G309" i="83"/>
  <c r="E309" i="83"/>
  <c r="C309" i="83"/>
  <c r="R308" i="83"/>
  <c r="S308" i="83"/>
  <c r="Q308" i="83"/>
  <c r="O308" i="83"/>
  <c r="M308" i="83"/>
  <c r="K308" i="83"/>
  <c r="I308" i="83"/>
  <c r="G308" i="83"/>
  <c r="E308" i="83"/>
  <c r="C308" i="83"/>
  <c r="R307" i="83"/>
  <c r="S307" i="83"/>
  <c r="Q307" i="83"/>
  <c r="O307" i="83"/>
  <c r="M307" i="83"/>
  <c r="K307" i="83"/>
  <c r="I307" i="83"/>
  <c r="G307" i="83"/>
  <c r="E307" i="83"/>
  <c r="C307" i="83"/>
  <c r="R306" i="83"/>
  <c r="S306" i="83"/>
  <c r="Q306" i="83"/>
  <c r="O306" i="83"/>
  <c r="M306" i="83"/>
  <c r="K306" i="83"/>
  <c r="I306" i="83"/>
  <c r="G306" i="83"/>
  <c r="E306" i="83"/>
  <c r="C306" i="83"/>
  <c r="R305" i="83"/>
  <c r="S305" i="83"/>
  <c r="Q305" i="83"/>
  <c r="O305" i="83"/>
  <c r="M305" i="83"/>
  <c r="K305" i="83"/>
  <c r="I305" i="83"/>
  <c r="G305" i="83"/>
  <c r="E305" i="83"/>
  <c r="C305" i="83"/>
  <c r="R304" i="83"/>
  <c r="S304" i="83"/>
  <c r="Q304" i="83"/>
  <c r="O304" i="83"/>
  <c r="M304" i="83"/>
  <c r="K304" i="83"/>
  <c r="I304" i="83"/>
  <c r="G304" i="83"/>
  <c r="E304" i="83"/>
  <c r="C304" i="83"/>
  <c r="R303" i="83"/>
  <c r="S303" i="83"/>
  <c r="Q303" i="83"/>
  <c r="O303" i="83"/>
  <c r="M303" i="83"/>
  <c r="K303" i="83"/>
  <c r="I303" i="83"/>
  <c r="G303" i="83"/>
  <c r="E303" i="83"/>
  <c r="C303" i="83"/>
  <c r="R302" i="83"/>
  <c r="S302" i="83"/>
  <c r="Q302" i="83"/>
  <c r="O302" i="83"/>
  <c r="M302" i="83"/>
  <c r="K302" i="83"/>
  <c r="I302" i="83"/>
  <c r="G302" i="83"/>
  <c r="E302" i="83"/>
  <c r="C302" i="83"/>
  <c r="R301" i="83"/>
  <c r="S301" i="83"/>
  <c r="Q301" i="83"/>
  <c r="O301" i="83"/>
  <c r="M301" i="83"/>
  <c r="K301" i="83"/>
  <c r="I301" i="83"/>
  <c r="G301" i="83"/>
  <c r="E301" i="83"/>
  <c r="C301" i="83"/>
  <c r="R300" i="83"/>
  <c r="S300" i="83"/>
  <c r="Q300" i="83"/>
  <c r="O300" i="83"/>
  <c r="M300" i="83"/>
  <c r="K300" i="83"/>
  <c r="I300" i="83"/>
  <c r="G300" i="83"/>
  <c r="E300" i="83"/>
  <c r="C300" i="83"/>
  <c r="R299" i="83"/>
  <c r="S299" i="83"/>
  <c r="Q299" i="83"/>
  <c r="O299" i="83"/>
  <c r="M299" i="83"/>
  <c r="K299" i="83"/>
  <c r="I299" i="83"/>
  <c r="G299" i="83"/>
  <c r="E299" i="83"/>
  <c r="C299" i="83"/>
  <c r="R298" i="83"/>
  <c r="S298" i="83"/>
  <c r="Q298" i="83"/>
  <c r="O298" i="83"/>
  <c r="M298" i="83"/>
  <c r="K298" i="83"/>
  <c r="I298" i="83"/>
  <c r="G298" i="83"/>
  <c r="E298" i="83"/>
  <c r="C298" i="83"/>
  <c r="R297" i="83"/>
  <c r="S297" i="83"/>
  <c r="Q297" i="83"/>
  <c r="O297" i="83"/>
  <c r="M297" i="83"/>
  <c r="K297" i="83"/>
  <c r="I297" i="83"/>
  <c r="G297" i="83"/>
  <c r="E297" i="83"/>
  <c r="C297" i="83"/>
  <c r="R296" i="83"/>
  <c r="S296" i="83"/>
  <c r="Q296" i="83"/>
  <c r="O296" i="83"/>
  <c r="M296" i="83"/>
  <c r="K296" i="83"/>
  <c r="I296" i="83"/>
  <c r="G296" i="83"/>
  <c r="E296" i="83"/>
  <c r="C296" i="83"/>
  <c r="R295" i="83"/>
  <c r="S295" i="83"/>
  <c r="Q295" i="83"/>
  <c r="O295" i="83"/>
  <c r="M295" i="83"/>
  <c r="K295" i="83"/>
  <c r="I295" i="83"/>
  <c r="G295" i="83"/>
  <c r="E295" i="83"/>
  <c r="C295" i="83"/>
  <c r="R294" i="83"/>
  <c r="S294" i="83"/>
  <c r="Q294" i="83"/>
  <c r="O294" i="83"/>
  <c r="M294" i="83"/>
  <c r="K294" i="83"/>
  <c r="I294" i="83"/>
  <c r="G294" i="83"/>
  <c r="E294" i="83"/>
  <c r="C294" i="83"/>
  <c r="R293" i="83"/>
  <c r="S293" i="83"/>
  <c r="Q293" i="83"/>
  <c r="O293" i="83"/>
  <c r="M293" i="83"/>
  <c r="K293" i="83"/>
  <c r="I293" i="83"/>
  <c r="G293" i="83"/>
  <c r="E293" i="83"/>
  <c r="C293" i="83"/>
  <c r="R292" i="83"/>
  <c r="S292" i="83"/>
  <c r="Q292" i="83"/>
  <c r="O292" i="83"/>
  <c r="M292" i="83"/>
  <c r="K292" i="83"/>
  <c r="I292" i="83"/>
  <c r="G292" i="83"/>
  <c r="E292" i="83"/>
  <c r="C292" i="83"/>
  <c r="R291" i="83"/>
  <c r="S291" i="83"/>
  <c r="Q291" i="83"/>
  <c r="O291" i="83"/>
  <c r="M291" i="83"/>
  <c r="K291" i="83"/>
  <c r="I291" i="83"/>
  <c r="G291" i="83"/>
  <c r="E291" i="83"/>
  <c r="C291" i="83"/>
  <c r="R290" i="83"/>
  <c r="S290" i="83"/>
  <c r="Q290" i="83"/>
  <c r="O290" i="83"/>
  <c r="M290" i="83"/>
  <c r="K290" i="83"/>
  <c r="I290" i="83"/>
  <c r="G290" i="83"/>
  <c r="E290" i="83"/>
  <c r="C290" i="83"/>
  <c r="R289" i="83"/>
  <c r="S289" i="83"/>
  <c r="Q289" i="83"/>
  <c r="O289" i="83"/>
  <c r="M289" i="83"/>
  <c r="K289" i="83"/>
  <c r="I289" i="83"/>
  <c r="G289" i="83"/>
  <c r="E289" i="83"/>
  <c r="C289" i="83"/>
  <c r="R288" i="83"/>
  <c r="S288" i="83"/>
  <c r="Q288" i="83"/>
  <c r="O288" i="83"/>
  <c r="M288" i="83"/>
  <c r="K288" i="83"/>
  <c r="I288" i="83"/>
  <c r="G288" i="83"/>
  <c r="E288" i="83"/>
  <c r="C288" i="83"/>
  <c r="R287" i="83"/>
  <c r="S287" i="83"/>
  <c r="Q287" i="83"/>
  <c r="O287" i="83"/>
  <c r="M287" i="83"/>
  <c r="K287" i="83"/>
  <c r="I287" i="83"/>
  <c r="G287" i="83"/>
  <c r="E287" i="83"/>
  <c r="C287" i="83"/>
  <c r="R286" i="83"/>
  <c r="S286" i="83"/>
  <c r="Q286" i="83"/>
  <c r="O286" i="83"/>
  <c r="M286" i="83"/>
  <c r="K286" i="83"/>
  <c r="I286" i="83"/>
  <c r="G286" i="83"/>
  <c r="E286" i="83"/>
  <c r="C286" i="83"/>
  <c r="R285" i="83"/>
  <c r="S285" i="83"/>
  <c r="Q285" i="83"/>
  <c r="O285" i="83"/>
  <c r="M285" i="83"/>
  <c r="K285" i="83"/>
  <c r="I285" i="83"/>
  <c r="G285" i="83"/>
  <c r="E285" i="83"/>
  <c r="C285" i="83"/>
  <c r="R284" i="83"/>
  <c r="S284" i="83"/>
  <c r="Q284" i="83"/>
  <c r="O284" i="83"/>
  <c r="M284" i="83"/>
  <c r="K284" i="83"/>
  <c r="I284" i="83"/>
  <c r="G284" i="83"/>
  <c r="E284" i="83"/>
  <c r="C284" i="83"/>
  <c r="R283" i="83"/>
  <c r="S283" i="83"/>
  <c r="Q283" i="83"/>
  <c r="O283" i="83"/>
  <c r="M283" i="83"/>
  <c r="K283" i="83"/>
  <c r="I283" i="83"/>
  <c r="G283" i="83"/>
  <c r="E283" i="83"/>
  <c r="C283" i="83"/>
  <c r="R282" i="83"/>
  <c r="S282" i="83"/>
  <c r="Q282" i="83"/>
  <c r="O282" i="83"/>
  <c r="M282" i="83"/>
  <c r="K282" i="83"/>
  <c r="I282" i="83"/>
  <c r="G282" i="83"/>
  <c r="E282" i="83"/>
  <c r="C282" i="83"/>
  <c r="R281" i="83"/>
  <c r="S281" i="83"/>
  <c r="Q281" i="83"/>
  <c r="O281" i="83"/>
  <c r="M281" i="83"/>
  <c r="K281" i="83"/>
  <c r="I281" i="83"/>
  <c r="G281" i="83"/>
  <c r="E281" i="83"/>
  <c r="C281" i="83"/>
  <c r="R280" i="83"/>
  <c r="S280" i="83"/>
  <c r="Q280" i="83"/>
  <c r="O280" i="83"/>
  <c r="M280" i="83"/>
  <c r="K280" i="83"/>
  <c r="I280" i="83"/>
  <c r="G280" i="83"/>
  <c r="E280" i="83"/>
  <c r="C280" i="83"/>
  <c r="R279" i="83"/>
  <c r="S279" i="83"/>
  <c r="Q279" i="83"/>
  <c r="O279" i="83"/>
  <c r="M279" i="83"/>
  <c r="K279" i="83"/>
  <c r="I279" i="83"/>
  <c r="G279" i="83"/>
  <c r="E279" i="83"/>
  <c r="C279" i="83"/>
  <c r="R278" i="83"/>
  <c r="S278" i="83"/>
  <c r="Q278" i="83"/>
  <c r="O278" i="83"/>
  <c r="M278" i="83"/>
  <c r="K278" i="83"/>
  <c r="I278" i="83"/>
  <c r="G278" i="83"/>
  <c r="E278" i="83"/>
  <c r="C278" i="83"/>
  <c r="R277" i="83"/>
  <c r="S277" i="83"/>
  <c r="Q277" i="83"/>
  <c r="O277" i="83"/>
  <c r="M277" i="83"/>
  <c r="K277" i="83"/>
  <c r="I277" i="83"/>
  <c r="G277" i="83"/>
  <c r="E277" i="83"/>
  <c r="C277" i="83"/>
  <c r="R276" i="83"/>
  <c r="S276" i="83"/>
  <c r="Q276" i="83"/>
  <c r="O276" i="83"/>
  <c r="M276" i="83"/>
  <c r="K276" i="83"/>
  <c r="I276" i="83"/>
  <c r="G276" i="83"/>
  <c r="E276" i="83"/>
  <c r="C276" i="83"/>
  <c r="R275" i="83"/>
  <c r="S275" i="83"/>
  <c r="Q275" i="83"/>
  <c r="O275" i="83"/>
  <c r="M275" i="83"/>
  <c r="K275" i="83"/>
  <c r="I275" i="83"/>
  <c r="G275" i="83"/>
  <c r="E275" i="83"/>
  <c r="C275" i="83"/>
  <c r="R274" i="83"/>
  <c r="S274" i="83"/>
  <c r="Q274" i="83"/>
  <c r="O274" i="83"/>
  <c r="M274" i="83"/>
  <c r="K274" i="83"/>
  <c r="I274" i="83"/>
  <c r="G274" i="83"/>
  <c r="E274" i="83"/>
  <c r="C274" i="83"/>
  <c r="R273" i="83"/>
  <c r="S273" i="83"/>
  <c r="Q273" i="83"/>
  <c r="O273" i="83"/>
  <c r="M273" i="83"/>
  <c r="K273" i="83"/>
  <c r="I273" i="83"/>
  <c r="G273" i="83"/>
  <c r="E273" i="83"/>
  <c r="C273" i="83"/>
  <c r="R272" i="83"/>
  <c r="S272" i="83"/>
  <c r="Q272" i="83"/>
  <c r="O272" i="83"/>
  <c r="M272" i="83"/>
  <c r="K272" i="83"/>
  <c r="I272" i="83"/>
  <c r="G272" i="83"/>
  <c r="E272" i="83"/>
  <c r="C272" i="83"/>
  <c r="R271" i="83"/>
  <c r="S271" i="83"/>
  <c r="Q271" i="83"/>
  <c r="O271" i="83"/>
  <c r="M271" i="83"/>
  <c r="K271" i="83"/>
  <c r="I271" i="83"/>
  <c r="G271" i="83"/>
  <c r="E271" i="83"/>
  <c r="C271" i="83"/>
  <c r="R270" i="83"/>
  <c r="S270" i="83"/>
  <c r="Q270" i="83"/>
  <c r="O270" i="83"/>
  <c r="M270" i="83"/>
  <c r="K270" i="83"/>
  <c r="I270" i="83"/>
  <c r="G270" i="83"/>
  <c r="E270" i="83"/>
  <c r="C270" i="83"/>
  <c r="R269" i="83"/>
  <c r="S269" i="83"/>
  <c r="Q269" i="83"/>
  <c r="O269" i="83"/>
  <c r="M269" i="83"/>
  <c r="K269" i="83"/>
  <c r="I269" i="83"/>
  <c r="G269" i="83"/>
  <c r="E269" i="83"/>
  <c r="C269" i="83"/>
  <c r="R268" i="83"/>
  <c r="S268" i="83"/>
  <c r="Q268" i="83"/>
  <c r="O268" i="83"/>
  <c r="M268" i="83"/>
  <c r="K268" i="83"/>
  <c r="I268" i="83"/>
  <c r="G268" i="83"/>
  <c r="E268" i="83"/>
  <c r="C268" i="83"/>
  <c r="R267" i="83"/>
  <c r="S267" i="83"/>
  <c r="Q267" i="83"/>
  <c r="O267" i="83"/>
  <c r="M267" i="83"/>
  <c r="K267" i="83"/>
  <c r="I267" i="83"/>
  <c r="G267" i="83"/>
  <c r="E267" i="83"/>
  <c r="C267" i="83"/>
  <c r="R266" i="83"/>
  <c r="S266" i="83"/>
  <c r="Q266" i="83"/>
  <c r="O266" i="83"/>
  <c r="M266" i="83"/>
  <c r="K266" i="83"/>
  <c r="I266" i="83"/>
  <c r="G266" i="83"/>
  <c r="E266" i="83"/>
  <c r="C266" i="83"/>
  <c r="R265" i="83"/>
  <c r="S265" i="83"/>
  <c r="Q265" i="83"/>
  <c r="O265" i="83"/>
  <c r="M265" i="83"/>
  <c r="K265" i="83"/>
  <c r="I265" i="83"/>
  <c r="G265" i="83"/>
  <c r="E265" i="83"/>
  <c r="C265" i="83"/>
  <c r="R264" i="83"/>
  <c r="S264" i="83"/>
  <c r="Q264" i="83"/>
  <c r="O264" i="83"/>
  <c r="M264" i="83"/>
  <c r="K264" i="83"/>
  <c r="I264" i="83"/>
  <c r="G264" i="83"/>
  <c r="E264" i="83"/>
  <c r="C264" i="83"/>
  <c r="R263" i="83"/>
  <c r="S263" i="83"/>
  <c r="Q263" i="83"/>
  <c r="O263" i="83"/>
  <c r="M263" i="83"/>
  <c r="K263" i="83"/>
  <c r="I263" i="83"/>
  <c r="G263" i="83"/>
  <c r="E263" i="83"/>
  <c r="C263" i="83"/>
  <c r="R262" i="83"/>
  <c r="S262" i="83"/>
  <c r="Q262" i="83"/>
  <c r="O262" i="83"/>
  <c r="M262" i="83"/>
  <c r="K262" i="83"/>
  <c r="I262" i="83"/>
  <c r="G262" i="83"/>
  <c r="E262" i="83"/>
  <c r="C262" i="83"/>
  <c r="R261" i="83"/>
  <c r="S261" i="83"/>
  <c r="Q261" i="83"/>
  <c r="O261" i="83"/>
  <c r="M261" i="83"/>
  <c r="K261" i="83"/>
  <c r="I261" i="83"/>
  <c r="G261" i="83"/>
  <c r="E261" i="83"/>
  <c r="C261" i="83"/>
  <c r="R260" i="83"/>
  <c r="S260" i="83"/>
  <c r="Q260" i="83"/>
  <c r="O260" i="83"/>
  <c r="M260" i="83"/>
  <c r="K260" i="83"/>
  <c r="I260" i="83"/>
  <c r="G260" i="83"/>
  <c r="E260" i="83"/>
  <c r="C260" i="83"/>
  <c r="R259" i="83"/>
  <c r="S259" i="83"/>
  <c r="Q259" i="83"/>
  <c r="O259" i="83"/>
  <c r="M259" i="83"/>
  <c r="K259" i="83"/>
  <c r="I259" i="83"/>
  <c r="G259" i="83"/>
  <c r="E259" i="83"/>
  <c r="C259" i="83"/>
  <c r="R258" i="83"/>
  <c r="S258" i="83"/>
  <c r="Q258" i="83"/>
  <c r="O258" i="83"/>
  <c r="M258" i="83"/>
  <c r="K258" i="83"/>
  <c r="I258" i="83"/>
  <c r="G258" i="83"/>
  <c r="E258" i="83"/>
  <c r="C258" i="83"/>
  <c r="R257" i="83"/>
  <c r="S257" i="83"/>
  <c r="Q257" i="83"/>
  <c r="O257" i="83"/>
  <c r="M257" i="83"/>
  <c r="K257" i="83"/>
  <c r="I257" i="83"/>
  <c r="G257" i="83"/>
  <c r="E257" i="83"/>
  <c r="C257" i="83"/>
  <c r="R256" i="83"/>
  <c r="S256" i="83"/>
  <c r="Q256" i="83"/>
  <c r="O256" i="83"/>
  <c r="M256" i="83"/>
  <c r="K256" i="83"/>
  <c r="I256" i="83"/>
  <c r="G256" i="83"/>
  <c r="E256" i="83"/>
  <c r="C256" i="83"/>
  <c r="R255" i="83"/>
  <c r="S255" i="83"/>
  <c r="Q255" i="83"/>
  <c r="O255" i="83"/>
  <c r="M255" i="83"/>
  <c r="K255" i="83"/>
  <c r="I255" i="83"/>
  <c r="G255" i="83"/>
  <c r="E255" i="83"/>
  <c r="C255" i="83"/>
  <c r="R254" i="83"/>
  <c r="S254" i="83"/>
  <c r="Q254" i="83"/>
  <c r="O254" i="83"/>
  <c r="M254" i="83"/>
  <c r="K254" i="83"/>
  <c r="I254" i="83"/>
  <c r="G254" i="83"/>
  <c r="E254" i="83"/>
  <c r="C254" i="83"/>
  <c r="R253" i="83"/>
  <c r="S253" i="83"/>
  <c r="Q253" i="83"/>
  <c r="O253" i="83"/>
  <c r="M253" i="83"/>
  <c r="K253" i="83"/>
  <c r="I253" i="83"/>
  <c r="G253" i="83"/>
  <c r="E253" i="83"/>
  <c r="C253" i="83"/>
  <c r="R252" i="83"/>
  <c r="S252" i="83"/>
  <c r="Q252" i="83"/>
  <c r="O252" i="83"/>
  <c r="M252" i="83"/>
  <c r="K252" i="83"/>
  <c r="I252" i="83"/>
  <c r="G252" i="83"/>
  <c r="E252" i="83"/>
  <c r="C252" i="83"/>
  <c r="R251" i="83"/>
  <c r="S251" i="83"/>
  <c r="Q251" i="83"/>
  <c r="O251" i="83"/>
  <c r="M251" i="83"/>
  <c r="K251" i="83"/>
  <c r="I251" i="83"/>
  <c r="G251" i="83"/>
  <c r="E251" i="83"/>
  <c r="C251" i="83"/>
  <c r="R250" i="83"/>
  <c r="S250" i="83"/>
  <c r="Q250" i="83"/>
  <c r="O250" i="83"/>
  <c r="M250" i="83"/>
  <c r="K250" i="83"/>
  <c r="I250" i="83"/>
  <c r="G250" i="83"/>
  <c r="E250" i="83"/>
  <c r="C250" i="83"/>
  <c r="R249" i="83"/>
  <c r="S249" i="83"/>
  <c r="Q249" i="83"/>
  <c r="O249" i="83"/>
  <c r="M249" i="83"/>
  <c r="K249" i="83"/>
  <c r="I249" i="83"/>
  <c r="G249" i="83"/>
  <c r="E249" i="83"/>
  <c r="C249" i="83"/>
  <c r="R248" i="83"/>
  <c r="S248" i="83"/>
  <c r="Q248" i="83"/>
  <c r="O248" i="83"/>
  <c r="M248" i="83"/>
  <c r="K248" i="83"/>
  <c r="I248" i="83"/>
  <c r="G248" i="83"/>
  <c r="E248" i="83"/>
  <c r="C248" i="83"/>
  <c r="R247" i="83"/>
  <c r="S247" i="83"/>
  <c r="Q247" i="83"/>
  <c r="O247" i="83"/>
  <c r="M247" i="83"/>
  <c r="K247" i="83"/>
  <c r="I247" i="83"/>
  <c r="G247" i="83"/>
  <c r="E247" i="83"/>
  <c r="C247" i="83"/>
  <c r="R246" i="83"/>
  <c r="S246" i="83"/>
  <c r="Q246" i="83"/>
  <c r="O246" i="83"/>
  <c r="M246" i="83"/>
  <c r="K246" i="83"/>
  <c r="I246" i="83"/>
  <c r="G246" i="83"/>
  <c r="E246" i="83"/>
  <c r="C246" i="83"/>
  <c r="R245" i="83"/>
  <c r="S245" i="83"/>
  <c r="Q245" i="83"/>
  <c r="O245" i="83"/>
  <c r="M245" i="83"/>
  <c r="K245" i="83"/>
  <c r="I245" i="83"/>
  <c r="G245" i="83"/>
  <c r="E245" i="83"/>
  <c r="C245" i="83"/>
  <c r="R244" i="83"/>
  <c r="S244" i="83"/>
  <c r="Q244" i="83"/>
  <c r="O244" i="83"/>
  <c r="M244" i="83"/>
  <c r="K244" i="83"/>
  <c r="I244" i="83"/>
  <c r="G244" i="83"/>
  <c r="E244" i="83"/>
  <c r="C244" i="83"/>
  <c r="R243" i="83"/>
  <c r="S243" i="83"/>
  <c r="Q243" i="83"/>
  <c r="O243" i="83"/>
  <c r="M243" i="83"/>
  <c r="K243" i="83"/>
  <c r="I243" i="83"/>
  <c r="G243" i="83"/>
  <c r="E243" i="83"/>
  <c r="C243" i="83"/>
  <c r="R242" i="83"/>
  <c r="S242" i="83"/>
  <c r="Q242" i="83"/>
  <c r="O242" i="83"/>
  <c r="M242" i="83"/>
  <c r="K242" i="83"/>
  <c r="I242" i="83"/>
  <c r="G242" i="83"/>
  <c r="E242" i="83"/>
  <c r="C242" i="83"/>
  <c r="R241" i="83"/>
  <c r="S241" i="83"/>
  <c r="Q241" i="83"/>
  <c r="O241" i="83"/>
  <c r="M241" i="83"/>
  <c r="K241" i="83"/>
  <c r="I241" i="83"/>
  <c r="G241" i="83"/>
  <c r="E241" i="83"/>
  <c r="C241" i="83"/>
  <c r="R240" i="83"/>
  <c r="S240" i="83"/>
  <c r="Q240" i="83"/>
  <c r="O240" i="83"/>
  <c r="M240" i="83"/>
  <c r="K240" i="83"/>
  <c r="I240" i="83"/>
  <c r="G240" i="83"/>
  <c r="E240" i="83"/>
  <c r="C240" i="83"/>
  <c r="R239" i="83"/>
  <c r="S239" i="83"/>
  <c r="Q239" i="83"/>
  <c r="O239" i="83"/>
  <c r="M239" i="83"/>
  <c r="K239" i="83"/>
  <c r="I239" i="83"/>
  <c r="G239" i="83"/>
  <c r="E239" i="83"/>
  <c r="C239" i="83"/>
  <c r="R238" i="83"/>
  <c r="S238" i="83"/>
  <c r="Q238" i="83"/>
  <c r="O238" i="83"/>
  <c r="M238" i="83"/>
  <c r="K238" i="83"/>
  <c r="I238" i="83"/>
  <c r="G238" i="83"/>
  <c r="E238" i="83"/>
  <c r="C238" i="83"/>
  <c r="R237" i="83"/>
  <c r="S237" i="83"/>
  <c r="Q237" i="83"/>
  <c r="O237" i="83"/>
  <c r="M237" i="83"/>
  <c r="K237" i="83"/>
  <c r="I237" i="83"/>
  <c r="G237" i="83"/>
  <c r="E237" i="83"/>
  <c r="C237" i="83"/>
  <c r="R236" i="83"/>
  <c r="S236" i="83"/>
  <c r="Q236" i="83"/>
  <c r="O236" i="83"/>
  <c r="M236" i="83"/>
  <c r="K236" i="83"/>
  <c r="I236" i="83"/>
  <c r="G236" i="83"/>
  <c r="E236" i="83"/>
  <c r="C236" i="83"/>
  <c r="R235" i="83"/>
  <c r="S235" i="83"/>
  <c r="Q235" i="83"/>
  <c r="O235" i="83"/>
  <c r="M235" i="83"/>
  <c r="K235" i="83"/>
  <c r="I235" i="83"/>
  <c r="G235" i="83"/>
  <c r="E235" i="83"/>
  <c r="C235" i="83"/>
  <c r="R234" i="83"/>
  <c r="S234" i="83"/>
  <c r="Q234" i="83"/>
  <c r="O234" i="83"/>
  <c r="M234" i="83"/>
  <c r="K234" i="83"/>
  <c r="I234" i="83"/>
  <c r="G234" i="83"/>
  <c r="E234" i="83"/>
  <c r="C234" i="83"/>
  <c r="R233" i="83"/>
  <c r="S233" i="83"/>
  <c r="Q233" i="83"/>
  <c r="O233" i="83"/>
  <c r="M233" i="83"/>
  <c r="K233" i="83"/>
  <c r="I233" i="83"/>
  <c r="G233" i="83"/>
  <c r="E233" i="83"/>
  <c r="C233" i="83"/>
  <c r="R232" i="83"/>
  <c r="S232" i="83"/>
  <c r="Q232" i="83"/>
  <c r="O232" i="83"/>
  <c r="M232" i="83"/>
  <c r="K232" i="83"/>
  <c r="I232" i="83"/>
  <c r="G232" i="83"/>
  <c r="E232" i="83"/>
  <c r="C232" i="83"/>
  <c r="R231" i="83"/>
  <c r="S231" i="83"/>
  <c r="Q231" i="83"/>
  <c r="O231" i="83"/>
  <c r="M231" i="83"/>
  <c r="K231" i="83"/>
  <c r="I231" i="83"/>
  <c r="G231" i="83"/>
  <c r="E231" i="83"/>
  <c r="C231" i="83"/>
  <c r="R230" i="83"/>
  <c r="S230" i="83"/>
  <c r="Q230" i="83"/>
  <c r="O230" i="83"/>
  <c r="M230" i="83"/>
  <c r="K230" i="83"/>
  <c r="I230" i="83"/>
  <c r="G230" i="83"/>
  <c r="E230" i="83"/>
  <c r="C230" i="83"/>
  <c r="R229" i="83"/>
  <c r="S229" i="83"/>
  <c r="Q229" i="83"/>
  <c r="O229" i="83"/>
  <c r="M229" i="83"/>
  <c r="K229" i="83"/>
  <c r="I229" i="83"/>
  <c r="G229" i="83"/>
  <c r="E229" i="83"/>
  <c r="C229" i="83"/>
  <c r="R228" i="83"/>
  <c r="S228" i="83"/>
  <c r="Q228" i="83"/>
  <c r="O228" i="83"/>
  <c r="M228" i="83"/>
  <c r="K228" i="83"/>
  <c r="I228" i="83"/>
  <c r="G228" i="83"/>
  <c r="E228" i="83"/>
  <c r="C228" i="83"/>
  <c r="R227" i="83"/>
  <c r="S227" i="83"/>
  <c r="Q227" i="83"/>
  <c r="O227" i="83"/>
  <c r="M227" i="83"/>
  <c r="K227" i="83"/>
  <c r="I227" i="83"/>
  <c r="G227" i="83"/>
  <c r="E227" i="83"/>
  <c r="C227" i="83"/>
  <c r="R226" i="83"/>
  <c r="S226" i="83"/>
  <c r="Q226" i="83"/>
  <c r="O226" i="83"/>
  <c r="M226" i="83"/>
  <c r="K226" i="83"/>
  <c r="I226" i="83"/>
  <c r="G226" i="83"/>
  <c r="E226" i="83"/>
  <c r="C226" i="83"/>
  <c r="R225" i="83"/>
  <c r="S225" i="83"/>
  <c r="Q225" i="83"/>
  <c r="O225" i="83"/>
  <c r="M225" i="83"/>
  <c r="K225" i="83"/>
  <c r="I225" i="83"/>
  <c r="G225" i="83"/>
  <c r="E225" i="83"/>
  <c r="C225" i="83"/>
  <c r="R224" i="83"/>
  <c r="S224" i="83"/>
  <c r="Q224" i="83"/>
  <c r="O224" i="83"/>
  <c r="M224" i="83"/>
  <c r="K224" i="83"/>
  <c r="I224" i="83"/>
  <c r="G224" i="83"/>
  <c r="E224" i="83"/>
  <c r="C224" i="83"/>
  <c r="R223" i="83"/>
  <c r="S223" i="83"/>
  <c r="Q223" i="83"/>
  <c r="O223" i="83"/>
  <c r="M223" i="83"/>
  <c r="K223" i="83"/>
  <c r="I223" i="83"/>
  <c r="G223" i="83"/>
  <c r="E223" i="83"/>
  <c r="C223" i="83"/>
  <c r="R222" i="83"/>
  <c r="S222" i="83"/>
  <c r="Q222" i="83"/>
  <c r="O222" i="83"/>
  <c r="M222" i="83"/>
  <c r="K222" i="83"/>
  <c r="I222" i="83"/>
  <c r="G222" i="83"/>
  <c r="E222" i="83"/>
  <c r="C222" i="83"/>
  <c r="R221" i="83"/>
  <c r="S221" i="83"/>
  <c r="Q221" i="83"/>
  <c r="O221" i="83"/>
  <c r="M221" i="83"/>
  <c r="K221" i="83"/>
  <c r="I221" i="83"/>
  <c r="G221" i="83"/>
  <c r="E221" i="83"/>
  <c r="C221" i="83"/>
  <c r="R220" i="83"/>
  <c r="S220" i="83"/>
  <c r="Q220" i="83"/>
  <c r="O220" i="83"/>
  <c r="M220" i="83"/>
  <c r="K220" i="83"/>
  <c r="I220" i="83"/>
  <c r="G220" i="83"/>
  <c r="E220" i="83"/>
  <c r="C220" i="83"/>
  <c r="R219" i="83"/>
  <c r="S219" i="83"/>
  <c r="Q219" i="83"/>
  <c r="O219" i="83"/>
  <c r="M219" i="83"/>
  <c r="K219" i="83"/>
  <c r="I219" i="83"/>
  <c r="G219" i="83"/>
  <c r="E219" i="83"/>
  <c r="C219" i="83"/>
  <c r="R218" i="83"/>
  <c r="S218" i="83"/>
  <c r="Q218" i="83"/>
  <c r="O218" i="83"/>
  <c r="M218" i="83"/>
  <c r="K218" i="83"/>
  <c r="I218" i="83"/>
  <c r="G218" i="83"/>
  <c r="E218" i="83"/>
  <c r="C218" i="83"/>
  <c r="R217" i="83"/>
  <c r="S217" i="83"/>
  <c r="Q217" i="83"/>
  <c r="O217" i="83"/>
  <c r="M217" i="83"/>
  <c r="K217" i="83"/>
  <c r="I217" i="83"/>
  <c r="G217" i="83"/>
  <c r="E217" i="83"/>
  <c r="C217" i="83"/>
  <c r="R216" i="83"/>
  <c r="S216" i="83"/>
  <c r="Q216" i="83"/>
  <c r="O216" i="83"/>
  <c r="M216" i="83"/>
  <c r="K216" i="83"/>
  <c r="I216" i="83"/>
  <c r="G216" i="83"/>
  <c r="E216" i="83"/>
  <c r="C216" i="83"/>
  <c r="R215" i="83"/>
  <c r="S215" i="83"/>
  <c r="Q215" i="83"/>
  <c r="O215" i="83"/>
  <c r="M215" i="83"/>
  <c r="K215" i="83"/>
  <c r="I215" i="83"/>
  <c r="G215" i="83"/>
  <c r="E215" i="83"/>
  <c r="C215" i="83"/>
  <c r="R214" i="83"/>
  <c r="S214" i="83"/>
  <c r="Q214" i="83"/>
  <c r="O214" i="83"/>
  <c r="M214" i="83"/>
  <c r="K214" i="83"/>
  <c r="I214" i="83"/>
  <c r="G214" i="83"/>
  <c r="E214" i="83"/>
  <c r="C214" i="83"/>
  <c r="R213" i="83"/>
  <c r="S213" i="83"/>
  <c r="Q213" i="83"/>
  <c r="O213" i="83"/>
  <c r="M213" i="83"/>
  <c r="K213" i="83"/>
  <c r="I213" i="83"/>
  <c r="G213" i="83"/>
  <c r="E213" i="83"/>
  <c r="C213" i="83"/>
  <c r="R212" i="83"/>
  <c r="S212" i="83"/>
  <c r="Q212" i="83"/>
  <c r="O212" i="83"/>
  <c r="M212" i="83"/>
  <c r="K212" i="83"/>
  <c r="I212" i="83"/>
  <c r="G212" i="83"/>
  <c r="E212" i="83"/>
  <c r="C212" i="83"/>
  <c r="R211" i="83"/>
  <c r="S211" i="83"/>
  <c r="Q211" i="83"/>
  <c r="O211" i="83"/>
  <c r="M211" i="83"/>
  <c r="K211" i="83"/>
  <c r="I211" i="83"/>
  <c r="G211" i="83"/>
  <c r="E211" i="83"/>
  <c r="C211" i="83"/>
  <c r="R210" i="83"/>
  <c r="S210" i="83"/>
  <c r="Q210" i="83"/>
  <c r="O210" i="83"/>
  <c r="M210" i="83"/>
  <c r="K210" i="83"/>
  <c r="I210" i="83"/>
  <c r="G210" i="83"/>
  <c r="E210" i="83"/>
  <c r="C210" i="83"/>
  <c r="R209" i="83"/>
  <c r="S209" i="83"/>
  <c r="Q209" i="83"/>
  <c r="O209" i="83"/>
  <c r="M209" i="83"/>
  <c r="K209" i="83"/>
  <c r="I209" i="83"/>
  <c r="G209" i="83"/>
  <c r="E209" i="83"/>
  <c r="C209" i="83"/>
  <c r="R208" i="83"/>
  <c r="S208" i="83"/>
  <c r="Q208" i="83"/>
  <c r="O208" i="83"/>
  <c r="M208" i="83"/>
  <c r="K208" i="83"/>
  <c r="I208" i="83"/>
  <c r="G208" i="83"/>
  <c r="E208" i="83"/>
  <c r="C208" i="83"/>
  <c r="R207" i="83"/>
  <c r="S207" i="83"/>
  <c r="Q207" i="83"/>
  <c r="O207" i="83"/>
  <c r="M207" i="83"/>
  <c r="K207" i="83"/>
  <c r="I207" i="83"/>
  <c r="G207" i="83"/>
  <c r="E207" i="83"/>
  <c r="C207" i="83"/>
  <c r="R206" i="83"/>
  <c r="S206" i="83"/>
  <c r="Q206" i="83"/>
  <c r="O206" i="83"/>
  <c r="M206" i="83"/>
  <c r="K206" i="83"/>
  <c r="I206" i="83"/>
  <c r="G206" i="83"/>
  <c r="E206" i="83"/>
  <c r="C206" i="83"/>
  <c r="R205" i="83"/>
  <c r="S205" i="83"/>
  <c r="Q205" i="83"/>
  <c r="O205" i="83"/>
  <c r="M205" i="83"/>
  <c r="K205" i="83"/>
  <c r="I205" i="83"/>
  <c r="G205" i="83"/>
  <c r="E205" i="83"/>
  <c r="C205" i="83"/>
  <c r="R204" i="83"/>
  <c r="S204" i="83"/>
  <c r="Q204" i="83"/>
  <c r="O204" i="83"/>
  <c r="M204" i="83"/>
  <c r="K204" i="83"/>
  <c r="I204" i="83"/>
  <c r="G204" i="83"/>
  <c r="E204" i="83"/>
  <c r="C204" i="83"/>
  <c r="R203" i="83"/>
  <c r="S203" i="83"/>
  <c r="Q203" i="83"/>
  <c r="O203" i="83"/>
  <c r="M203" i="83"/>
  <c r="K203" i="83"/>
  <c r="I203" i="83"/>
  <c r="G203" i="83"/>
  <c r="E203" i="83"/>
  <c r="C203" i="83"/>
  <c r="R202" i="83"/>
  <c r="S202" i="83"/>
  <c r="Q202" i="83"/>
  <c r="O202" i="83"/>
  <c r="M202" i="83"/>
  <c r="K202" i="83"/>
  <c r="I202" i="83"/>
  <c r="G202" i="83"/>
  <c r="E202" i="83"/>
  <c r="C202" i="83"/>
  <c r="R201" i="83"/>
  <c r="S201" i="83"/>
  <c r="Q201" i="83"/>
  <c r="O201" i="83"/>
  <c r="M201" i="83"/>
  <c r="K201" i="83"/>
  <c r="I201" i="83"/>
  <c r="G201" i="83"/>
  <c r="E201" i="83"/>
  <c r="C201" i="83"/>
  <c r="R200" i="83"/>
  <c r="S200" i="83"/>
  <c r="Q200" i="83"/>
  <c r="O200" i="83"/>
  <c r="M200" i="83"/>
  <c r="K200" i="83"/>
  <c r="I200" i="83"/>
  <c r="G200" i="83"/>
  <c r="E200" i="83"/>
  <c r="C200" i="83"/>
  <c r="R199" i="83"/>
  <c r="S199" i="83"/>
  <c r="Q199" i="83"/>
  <c r="O199" i="83"/>
  <c r="M199" i="83"/>
  <c r="K199" i="83"/>
  <c r="I199" i="83"/>
  <c r="G199" i="83"/>
  <c r="E199" i="83"/>
  <c r="C199" i="83"/>
  <c r="R198" i="83"/>
  <c r="S198" i="83"/>
  <c r="Q198" i="83"/>
  <c r="O198" i="83"/>
  <c r="M198" i="83"/>
  <c r="K198" i="83"/>
  <c r="I198" i="83"/>
  <c r="G198" i="83"/>
  <c r="E198" i="83"/>
  <c r="C198" i="83"/>
  <c r="R197" i="83"/>
  <c r="S197" i="83"/>
  <c r="Q197" i="83"/>
  <c r="O197" i="83"/>
  <c r="M197" i="83"/>
  <c r="K197" i="83"/>
  <c r="I197" i="83"/>
  <c r="G197" i="83"/>
  <c r="E197" i="83"/>
  <c r="C197" i="83"/>
  <c r="R196" i="83"/>
  <c r="S196" i="83"/>
  <c r="Q196" i="83"/>
  <c r="O196" i="83"/>
  <c r="M196" i="83"/>
  <c r="K196" i="83"/>
  <c r="I196" i="83"/>
  <c r="G196" i="83"/>
  <c r="E196" i="83"/>
  <c r="C196" i="83"/>
  <c r="R195" i="83"/>
  <c r="S195" i="83"/>
  <c r="Q195" i="83"/>
  <c r="O195" i="83"/>
  <c r="M195" i="83"/>
  <c r="K195" i="83"/>
  <c r="I195" i="83"/>
  <c r="G195" i="83"/>
  <c r="E195" i="83"/>
  <c r="C195" i="83"/>
  <c r="R194" i="83"/>
  <c r="S194" i="83"/>
  <c r="Q194" i="83"/>
  <c r="O194" i="83"/>
  <c r="M194" i="83"/>
  <c r="K194" i="83"/>
  <c r="I194" i="83"/>
  <c r="G194" i="83"/>
  <c r="E194" i="83"/>
  <c r="C194" i="83"/>
  <c r="R193" i="83"/>
  <c r="S193" i="83"/>
  <c r="Q193" i="83"/>
  <c r="O193" i="83"/>
  <c r="M193" i="83"/>
  <c r="K193" i="83"/>
  <c r="I193" i="83"/>
  <c r="G193" i="83"/>
  <c r="E193" i="83"/>
  <c r="C193" i="83"/>
  <c r="R192" i="83"/>
  <c r="S192" i="83"/>
  <c r="Q192" i="83"/>
  <c r="O192" i="83"/>
  <c r="M192" i="83"/>
  <c r="K192" i="83"/>
  <c r="I192" i="83"/>
  <c r="G192" i="83"/>
  <c r="E192" i="83"/>
  <c r="C192" i="83"/>
  <c r="R191" i="83"/>
  <c r="S191" i="83"/>
  <c r="Q191" i="83"/>
  <c r="O191" i="83"/>
  <c r="M191" i="83"/>
  <c r="K191" i="83"/>
  <c r="I191" i="83"/>
  <c r="G191" i="83"/>
  <c r="E191" i="83"/>
  <c r="C191" i="83"/>
  <c r="R190" i="83"/>
  <c r="S190" i="83"/>
  <c r="Q190" i="83"/>
  <c r="O190" i="83"/>
  <c r="M190" i="83"/>
  <c r="K190" i="83"/>
  <c r="I190" i="83"/>
  <c r="G190" i="83"/>
  <c r="E190" i="83"/>
  <c r="C190" i="83"/>
  <c r="R189" i="83"/>
  <c r="S189" i="83"/>
  <c r="Q189" i="83"/>
  <c r="O189" i="83"/>
  <c r="M189" i="83"/>
  <c r="K189" i="83"/>
  <c r="I189" i="83"/>
  <c r="G189" i="83"/>
  <c r="E189" i="83"/>
  <c r="C189" i="83"/>
  <c r="R188" i="83"/>
  <c r="S188" i="83"/>
  <c r="Q188" i="83"/>
  <c r="O188" i="83"/>
  <c r="M188" i="83"/>
  <c r="K188" i="83"/>
  <c r="I188" i="83"/>
  <c r="G188" i="83"/>
  <c r="E188" i="83"/>
  <c r="C188" i="83"/>
  <c r="R187" i="83"/>
  <c r="S187" i="83"/>
  <c r="Q187" i="83"/>
  <c r="O187" i="83"/>
  <c r="M187" i="83"/>
  <c r="K187" i="83"/>
  <c r="I187" i="83"/>
  <c r="G187" i="83"/>
  <c r="E187" i="83"/>
  <c r="C187" i="83"/>
  <c r="R186" i="83"/>
  <c r="S186" i="83"/>
  <c r="Q186" i="83"/>
  <c r="O186" i="83"/>
  <c r="M186" i="83"/>
  <c r="K186" i="83"/>
  <c r="I186" i="83"/>
  <c r="G186" i="83"/>
  <c r="E186" i="83"/>
  <c r="C186" i="83"/>
  <c r="R185" i="83"/>
  <c r="S185" i="83"/>
  <c r="Q185" i="83"/>
  <c r="O185" i="83"/>
  <c r="M185" i="83"/>
  <c r="K185" i="83"/>
  <c r="I185" i="83"/>
  <c r="G185" i="83"/>
  <c r="E185" i="83"/>
  <c r="C185" i="83"/>
  <c r="R184" i="83"/>
  <c r="S184" i="83"/>
  <c r="Q184" i="83"/>
  <c r="O184" i="83"/>
  <c r="M184" i="83"/>
  <c r="K184" i="83"/>
  <c r="I184" i="83"/>
  <c r="G184" i="83"/>
  <c r="E184" i="83"/>
  <c r="C184" i="83"/>
  <c r="R183" i="83"/>
  <c r="S183" i="83"/>
  <c r="Q183" i="83"/>
  <c r="O183" i="83"/>
  <c r="M183" i="83"/>
  <c r="K183" i="83"/>
  <c r="I183" i="83"/>
  <c r="G183" i="83"/>
  <c r="E183" i="83"/>
  <c r="C183" i="83"/>
  <c r="R182" i="83"/>
  <c r="S182" i="83"/>
  <c r="Q182" i="83"/>
  <c r="O182" i="83"/>
  <c r="M182" i="83"/>
  <c r="K182" i="83"/>
  <c r="I182" i="83"/>
  <c r="G182" i="83"/>
  <c r="E182" i="83"/>
  <c r="C182" i="83"/>
  <c r="R181" i="83"/>
  <c r="S181" i="83"/>
  <c r="Q181" i="83"/>
  <c r="O181" i="83"/>
  <c r="M181" i="83"/>
  <c r="K181" i="83"/>
  <c r="I181" i="83"/>
  <c r="G181" i="83"/>
  <c r="E181" i="83"/>
  <c r="C181" i="83"/>
  <c r="R180" i="83"/>
  <c r="S180" i="83"/>
  <c r="Q180" i="83"/>
  <c r="O180" i="83"/>
  <c r="M180" i="83"/>
  <c r="K180" i="83"/>
  <c r="I180" i="83"/>
  <c r="G180" i="83"/>
  <c r="E180" i="83"/>
  <c r="C180" i="83"/>
  <c r="R179" i="83"/>
  <c r="S179" i="83"/>
  <c r="Q179" i="83"/>
  <c r="O179" i="83"/>
  <c r="M179" i="83"/>
  <c r="K179" i="83"/>
  <c r="I179" i="83"/>
  <c r="G179" i="83"/>
  <c r="E179" i="83"/>
  <c r="C179" i="83"/>
  <c r="R178" i="83"/>
  <c r="S178" i="83"/>
  <c r="Q178" i="83"/>
  <c r="O178" i="83"/>
  <c r="M178" i="83"/>
  <c r="K178" i="83"/>
  <c r="I178" i="83"/>
  <c r="G178" i="83"/>
  <c r="E178" i="83"/>
  <c r="C178" i="83"/>
  <c r="R177" i="83"/>
  <c r="S177" i="83"/>
  <c r="Q177" i="83"/>
  <c r="O177" i="83"/>
  <c r="M177" i="83"/>
  <c r="K177" i="83"/>
  <c r="I177" i="83"/>
  <c r="G177" i="83"/>
  <c r="E177" i="83"/>
  <c r="C177" i="83"/>
  <c r="R176" i="83"/>
  <c r="S176" i="83"/>
  <c r="Q176" i="83"/>
  <c r="O176" i="83"/>
  <c r="M176" i="83"/>
  <c r="K176" i="83"/>
  <c r="I176" i="83"/>
  <c r="G176" i="83"/>
  <c r="E176" i="83"/>
  <c r="C176" i="83"/>
  <c r="R175" i="83"/>
  <c r="S175" i="83"/>
  <c r="Q175" i="83"/>
  <c r="O175" i="83"/>
  <c r="M175" i="83"/>
  <c r="K175" i="83"/>
  <c r="I175" i="83"/>
  <c r="G175" i="83"/>
  <c r="E175" i="83"/>
  <c r="C175" i="83"/>
  <c r="R174" i="83"/>
  <c r="S174" i="83"/>
  <c r="Q174" i="83"/>
  <c r="O174" i="83"/>
  <c r="M174" i="83"/>
  <c r="K174" i="83"/>
  <c r="I174" i="83"/>
  <c r="G174" i="83"/>
  <c r="E174" i="83"/>
  <c r="C174" i="83"/>
  <c r="R173" i="83"/>
  <c r="S173" i="83"/>
  <c r="Q173" i="83"/>
  <c r="O173" i="83"/>
  <c r="M173" i="83"/>
  <c r="K173" i="83"/>
  <c r="I173" i="83"/>
  <c r="G173" i="83"/>
  <c r="E173" i="83"/>
  <c r="C173" i="83"/>
  <c r="R172" i="83"/>
  <c r="S172" i="83"/>
  <c r="Q172" i="83"/>
  <c r="O172" i="83"/>
  <c r="M172" i="83"/>
  <c r="K172" i="83"/>
  <c r="I172" i="83"/>
  <c r="G172" i="83"/>
  <c r="E172" i="83"/>
  <c r="C172" i="83"/>
  <c r="R171" i="83"/>
  <c r="S171" i="83"/>
  <c r="Q171" i="83"/>
  <c r="O171" i="83"/>
  <c r="M171" i="83"/>
  <c r="K171" i="83"/>
  <c r="I171" i="83"/>
  <c r="G171" i="83"/>
  <c r="E171" i="83"/>
  <c r="C171" i="83"/>
  <c r="R170" i="83"/>
  <c r="S170" i="83"/>
  <c r="Q170" i="83"/>
  <c r="O170" i="83"/>
  <c r="M170" i="83"/>
  <c r="K170" i="83"/>
  <c r="I170" i="83"/>
  <c r="G170" i="83"/>
  <c r="E170" i="83"/>
  <c r="C170" i="83"/>
  <c r="R169" i="83"/>
  <c r="S169" i="83"/>
  <c r="Q169" i="83"/>
  <c r="O169" i="83"/>
  <c r="M169" i="83"/>
  <c r="K169" i="83"/>
  <c r="I169" i="83"/>
  <c r="G169" i="83"/>
  <c r="E169" i="83"/>
  <c r="C169" i="83"/>
  <c r="R168" i="83"/>
  <c r="S168" i="83"/>
  <c r="Q168" i="83"/>
  <c r="O168" i="83"/>
  <c r="M168" i="83"/>
  <c r="K168" i="83"/>
  <c r="I168" i="83"/>
  <c r="G168" i="83"/>
  <c r="E168" i="83"/>
  <c r="C168" i="83"/>
  <c r="R167" i="83"/>
  <c r="S167" i="83"/>
  <c r="Q167" i="83"/>
  <c r="O167" i="83"/>
  <c r="M167" i="83"/>
  <c r="K167" i="83"/>
  <c r="I167" i="83"/>
  <c r="G167" i="83"/>
  <c r="E167" i="83"/>
  <c r="C167" i="83"/>
  <c r="R166" i="83"/>
  <c r="S166" i="83"/>
  <c r="Q166" i="83"/>
  <c r="O166" i="83"/>
  <c r="M166" i="83"/>
  <c r="K166" i="83"/>
  <c r="I166" i="83"/>
  <c r="G166" i="83"/>
  <c r="E166" i="83"/>
  <c r="C166" i="83"/>
  <c r="R165" i="83"/>
  <c r="S165" i="83"/>
  <c r="Q165" i="83"/>
  <c r="O165" i="83"/>
  <c r="M165" i="83"/>
  <c r="K165" i="83"/>
  <c r="I165" i="83"/>
  <c r="G165" i="83"/>
  <c r="E165" i="83"/>
  <c r="C165" i="83"/>
  <c r="R164" i="83"/>
  <c r="S164" i="83"/>
  <c r="Q164" i="83"/>
  <c r="O164" i="83"/>
  <c r="M164" i="83"/>
  <c r="K164" i="83"/>
  <c r="I164" i="83"/>
  <c r="G164" i="83"/>
  <c r="E164" i="83"/>
  <c r="C164" i="83"/>
  <c r="R163" i="83"/>
  <c r="S163" i="83"/>
  <c r="Q163" i="83"/>
  <c r="O163" i="83"/>
  <c r="M163" i="83"/>
  <c r="K163" i="83"/>
  <c r="I163" i="83"/>
  <c r="G163" i="83"/>
  <c r="E163" i="83"/>
  <c r="C163" i="83"/>
  <c r="R162" i="83"/>
  <c r="S162" i="83"/>
  <c r="Q162" i="83"/>
  <c r="O162" i="83"/>
  <c r="M162" i="83"/>
  <c r="K162" i="83"/>
  <c r="I162" i="83"/>
  <c r="G162" i="83"/>
  <c r="E162" i="83"/>
  <c r="C162" i="83"/>
  <c r="R161" i="83"/>
  <c r="S161" i="83"/>
  <c r="Q161" i="83"/>
  <c r="O161" i="83"/>
  <c r="M161" i="83"/>
  <c r="K161" i="83"/>
  <c r="I161" i="83"/>
  <c r="G161" i="83"/>
  <c r="E161" i="83"/>
  <c r="C161" i="83"/>
  <c r="R160" i="83"/>
  <c r="S160" i="83"/>
  <c r="Q160" i="83"/>
  <c r="O160" i="83"/>
  <c r="M160" i="83"/>
  <c r="K160" i="83"/>
  <c r="I160" i="83"/>
  <c r="G160" i="83"/>
  <c r="E160" i="83"/>
  <c r="C160" i="83"/>
  <c r="R159" i="83"/>
  <c r="S159" i="83"/>
  <c r="Q159" i="83"/>
  <c r="O159" i="83"/>
  <c r="M159" i="83"/>
  <c r="K159" i="83"/>
  <c r="I159" i="83"/>
  <c r="G159" i="83"/>
  <c r="E159" i="83"/>
  <c r="C159" i="83"/>
  <c r="R158" i="83"/>
  <c r="S158" i="83"/>
  <c r="Q158" i="83"/>
  <c r="O158" i="83"/>
  <c r="M158" i="83"/>
  <c r="K158" i="83"/>
  <c r="I158" i="83"/>
  <c r="G158" i="83"/>
  <c r="E158" i="83"/>
  <c r="C158" i="83"/>
  <c r="R157" i="83"/>
  <c r="S157" i="83"/>
  <c r="Q157" i="83"/>
  <c r="O157" i="83"/>
  <c r="M157" i="83"/>
  <c r="K157" i="83"/>
  <c r="I157" i="83"/>
  <c r="G157" i="83"/>
  <c r="E157" i="83"/>
  <c r="C157" i="83"/>
  <c r="R156" i="83"/>
  <c r="S156" i="83"/>
  <c r="Q156" i="83"/>
  <c r="O156" i="83"/>
  <c r="M156" i="83"/>
  <c r="K156" i="83"/>
  <c r="I156" i="83"/>
  <c r="G156" i="83"/>
  <c r="E156" i="83"/>
  <c r="C156" i="83"/>
  <c r="R155" i="83"/>
  <c r="S155" i="83"/>
  <c r="Q155" i="83"/>
  <c r="O155" i="83"/>
  <c r="M155" i="83"/>
  <c r="K155" i="83"/>
  <c r="I155" i="83"/>
  <c r="G155" i="83"/>
  <c r="E155" i="83"/>
  <c r="C155" i="83"/>
  <c r="R154" i="83"/>
  <c r="S154" i="83"/>
  <c r="Q154" i="83"/>
  <c r="O154" i="83"/>
  <c r="M154" i="83"/>
  <c r="K154" i="83"/>
  <c r="I154" i="83"/>
  <c r="G154" i="83"/>
  <c r="E154" i="83"/>
  <c r="C154" i="83"/>
  <c r="R153" i="83"/>
  <c r="S153" i="83"/>
  <c r="Q153" i="83"/>
  <c r="O153" i="83"/>
  <c r="M153" i="83"/>
  <c r="K153" i="83"/>
  <c r="I153" i="83"/>
  <c r="G153" i="83"/>
  <c r="E153" i="83"/>
  <c r="C153" i="83"/>
  <c r="R152" i="83"/>
  <c r="S152" i="83"/>
  <c r="Q152" i="83"/>
  <c r="O152" i="83"/>
  <c r="M152" i="83"/>
  <c r="K152" i="83"/>
  <c r="I152" i="83"/>
  <c r="G152" i="83"/>
  <c r="E152" i="83"/>
  <c r="C152" i="83"/>
  <c r="R151" i="83"/>
  <c r="S151" i="83"/>
  <c r="Q151" i="83"/>
  <c r="O151" i="83"/>
  <c r="M151" i="83"/>
  <c r="K151" i="83"/>
  <c r="I151" i="83"/>
  <c r="G151" i="83"/>
  <c r="E151" i="83"/>
  <c r="C151" i="83"/>
  <c r="R150" i="83"/>
  <c r="S150" i="83"/>
  <c r="Q150" i="83"/>
  <c r="O150" i="83"/>
  <c r="M150" i="83"/>
  <c r="K150" i="83"/>
  <c r="I150" i="83"/>
  <c r="G150" i="83"/>
  <c r="E150" i="83"/>
  <c r="C150" i="83"/>
  <c r="R149" i="83"/>
  <c r="S149" i="83"/>
  <c r="Q149" i="83"/>
  <c r="O149" i="83"/>
  <c r="M149" i="83"/>
  <c r="K149" i="83"/>
  <c r="I149" i="83"/>
  <c r="G149" i="83"/>
  <c r="E149" i="83"/>
  <c r="C149" i="83"/>
  <c r="R148" i="83"/>
  <c r="S148" i="83"/>
  <c r="Q148" i="83"/>
  <c r="O148" i="83"/>
  <c r="M148" i="83"/>
  <c r="K148" i="83"/>
  <c r="I148" i="83"/>
  <c r="G148" i="83"/>
  <c r="E148" i="83"/>
  <c r="C148" i="83"/>
  <c r="R147" i="83"/>
  <c r="S147" i="83"/>
  <c r="Q147" i="83"/>
  <c r="O147" i="83"/>
  <c r="M147" i="83"/>
  <c r="K147" i="83"/>
  <c r="I147" i="83"/>
  <c r="G147" i="83"/>
  <c r="E147" i="83"/>
  <c r="C147" i="83"/>
  <c r="R146" i="83"/>
  <c r="S146" i="83"/>
  <c r="Q146" i="83"/>
  <c r="O146" i="83"/>
  <c r="M146" i="83"/>
  <c r="K146" i="83"/>
  <c r="I146" i="83"/>
  <c r="G146" i="83"/>
  <c r="E146" i="83"/>
  <c r="C146" i="83"/>
  <c r="R145" i="83"/>
  <c r="S145" i="83"/>
  <c r="Q145" i="83"/>
  <c r="O145" i="83"/>
  <c r="M145" i="83"/>
  <c r="K145" i="83"/>
  <c r="I145" i="83"/>
  <c r="G145" i="83"/>
  <c r="E145" i="83"/>
  <c r="C145" i="83"/>
  <c r="R144" i="83"/>
  <c r="S144" i="83"/>
  <c r="Q144" i="83"/>
  <c r="O144" i="83"/>
  <c r="M144" i="83"/>
  <c r="K144" i="83"/>
  <c r="I144" i="83"/>
  <c r="G144" i="83"/>
  <c r="E144" i="83"/>
  <c r="C144" i="83"/>
  <c r="R143" i="83"/>
  <c r="S143" i="83"/>
  <c r="Q143" i="83"/>
  <c r="O143" i="83"/>
  <c r="M143" i="83"/>
  <c r="K143" i="83"/>
  <c r="I143" i="83"/>
  <c r="G143" i="83"/>
  <c r="E143" i="83"/>
  <c r="C143" i="83"/>
  <c r="R142" i="83"/>
  <c r="S142" i="83"/>
  <c r="Q142" i="83"/>
  <c r="O142" i="83"/>
  <c r="M142" i="83"/>
  <c r="K142" i="83"/>
  <c r="I142" i="83"/>
  <c r="G142" i="83"/>
  <c r="E142" i="83"/>
  <c r="C142" i="83"/>
  <c r="R141" i="83"/>
  <c r="S141" i="83"/>
  <c r="Q141" i="83"/>
  <c r="O141" i="83"/>
  <c r="M141" i="83"/>
  <c r="K141" i="83"/>
  <c r="I141" i="83"/>
  <c r="G141" i="83"/>
  <c r="E141" i="83"/>
  <c r="C141" i="83"/>
  <c r="R140" i="83"/>
  <c r="S140" i="83"/>
  <c r="Q140" i="83"/>
  <c r="O140" i="83"/>
  <c r="M140" i="83"/>
  <c r="K140" i="83"/>
  <c r="I140" i="83"/>
  <c r="G140" i="83"/>
  <c r="E140" i="83"/>
  <c r="C140" i="83"/>
  <c r="R139" i="83"/>
  <c r="S139" i="83"/>
  <c r="Q139" i="83"/>
  <c r="O139" i="83"/>
  <c r="M139" i="83"/>
  <c r="K139" i="83"/>
  <c r="I139" i="83"/>
  <c r="G139" i="83"/>
  <c r="E139" i="83"/>
  <c r="C139" i="83"/>
  <c r="R138" i="83"/>
  <c r="S138" i="83"/>
  <c r="Q138" i="83"/>
  <c r="O138" i="83"/>
  <c r="M138" i="83"/>
  <c r="K138" i="83"/>
  <c r="I138" i="83"/>
  <c r="G138" i="83"/>
  <c r="E138" i="83"/>
  <c r="C138" i="83"/>
  <c r="R137" i="83"/>
  <c r="S137" i="83"/>
  <c r="Q137" i="83"/>
  <c r="O137" i="83"/>
  <c r="M137" i="83"/>
  <c r="K137" i="83"/>
  <c r="I137" i="83"/>
  <c r="G137" i="83"/>
  <c r="E137" i="83"/>
  <c r="C137" i="83"/>
  <c r="R136" i="83"/>
  <c r="S136" i="83"/>
  <c r="Q136" i="83"/>
  <c r="O136" i="83"/>
  <c r="M136" i="83"/>
  <c r="K136" i="83"/>
  <c r="I136" i="83"/>
  <c r="G136" i="83"/>
  <c r="E136" i="83"/>
  <c r="C136" i="83"/>
  <c r="R135" i="83"/>
  <c r="S135" i="83"/>
  <c r="Q135" i="83"/>
  <c r="O135" i="83"/>
  <c r="M135" i="83"/>
  <c r="K135" i="83"/>
  <c r="I135" i="83"/>
  <c r="G135" i="83"/>
  <c r="E135" i="83"/>
  <c r="C135" i="83"/>
  <c r="R134" i="83"/>
  <c r="S134" i="83"/>
  <c r="Q134" i="83"/>
  <c r="O134" i="83"/>
  <c r="M134" i="83"/>
  <c r="K134" i="83"/>
  <c r="I134" i="83"/>
  <c r="G134" i="83"/>
  <c r="E134" i="83"/>
  <c r="C134" i="83"/>
  <c r="R133" i="83"/>
  <c r="S133" i="83"/>
  <c r="Q133" i="83"/>
  <c r="O133" i="83"/>
  <c r="M133" i="83"/>
  <c r="K133" i="83"/>
  <c r="I133" i="83"/>
  <c r="G133" i="83"/>
  <c r="E133" i="83"/>
  <c r="C133" i="83"/>
  <c r="R132" i="83"/>
  <c r="S132" i="83"/>
  <c r="Q132" i="83"/>
  <c r="O132" i="83"/>
  <c r="M132" i="83"/>
  <c r="K132" i="83"/>
  <c r="I132" i="83"/>
  <c r="G132" i="83"/>
  <c r="E132" i="83"/>
  <c r="C132" i="83"/>
  <c r="R131" i="83"/>
  <c r="S131" i="83"/>
  <c r="Q131" i="83"/>
  <c r="O131" i="83"/>
  <c r="M131" i="83"/>
  <c r="K131" i="83"/>
  <c r="I131" i="83"/>
  <c r="G131" i="83"/>
  <c r="E131" i="83"/>
  <c r="C131" i="83"/>
  <c r="R130" i="83"/>
  <c r="S130" i="83"/>
  <c r="Q130" i="83"/>
  <c r="O130" i="83"/>
  <c r="M130" i="83"/>
  <c r="K130" i="83"/>
  <c r="I130" i="83"/>
  <c r="G130" i="83"/>
  <c r="E130" i="83"/>
  <c r="C130" i="83"/>
  <c r="R129" i="83"/>
  <c r="S129" i="83"/>
  <c r="Q129" i="83"/>
  <c r="O129" i="83"/>
  <c r="M129" i="83"/>
  <c r="K129" i="83"/>
  <c r="I129" i="83"/>
  <c r="G129" i="83"/>
  <c r="E129" i="83"/>
  <c r="C129" i="83"/>
  <c r="R128" i="83"/>
  <c r="S128" i="83"/>
  <c r="Q128" i="83"/>
  <c r="O128" i="83"/>
  <c r="M128" i="83"/>
  <c r="K128" i="83"/>
  <c r="I128" i="83"/>
  <c r="G128" i="83"/>
  <c r="E128" i="83"/>
  <c r="C128" i="83"/>
  <c r="R127" i="83"/>
  <c r="S127" i="83"/>
  <c r="Q127" i="83"/>
  <c r="O127" i="83"/>
  <c r="M127" i="83"/>
  <c r="K127" i="83"/>
  <c r="I127" i="83"/>
  <c r="G127" i="83"/>
  <c r="E127" i="83"/>
  <c r="C127" i="83"/>
  <c r="R126" i="83"/>
  <c r="S126" i="83"/>
  <c r="Q126" i="83"/>
  <c r="O126" i="83"/>
  <c r="M126" i="83"/>
  <c r="K126" i="83"/>
  <c r="I126" i="83"/>
  <c r="G126" i="83"/>
  <c r="E126" i="83"/>
  <c r="C126" i="83"/>
  <c r="R125" i="83"/>
  <c r="S125" i="83"/>
  <c r="Q125" i="83"/>
  <c r="O125" i="83"/>
  <c r="M125" i="83"/>
  <c r="K125" i="83"/>
  <c r="I125" i="83"/>
  <c r="G125" i="83"/>
  <c r="E125" i="83"/>
  <c r="C125" i="83"/>
  <c r="R124" i="83"/>
  <c r="S124" i="83"/>
  <c r="Q124" i="83"/>
  <c r="O124" i="83"/>
  <c r="M124" i="83"/>
  <c r="K124" i="83"/>
  <c r="I124" i="83"/>
  <c r="G124" i="83"/>
  <c r="E124" i="83"/>
  <c r="C124" i="83"/>
  <c r="R123" i="83"/>
  <c r="S123" i="83"/>
  <c r="Q123" i="83"/>
  <c r="O123" i="83"/>
  <c r="M123" i="83"/>
  <c r="K123" i="83"/>
  <c r="I123" i="83"/>
  <c r="G123" i="83"/>
  <c r="E123" i="83"/>
  <c r="C123" i="83"/>
  <c r="R122" i="83"/>
  <c r="S122" i="83"/>
  <c r="Q122" i="83"/>
  <c r="O122" i="83"/>
  <c r="M122" i="83"/>
  <c r="K122" i="83"/>
  <c r="I122" i="83"/>
  <c r="G122" i="83"/>
  <c r="E122" i="83"/>
  <c r="C122" i="83"/>
  <c r="R121" i="83"/>
  <c r="S121" i="83"/>
  <c r="Q121" i="83"/>
  <c r="O121" i="83"/>
  <c r="M121" i="83"/>
  <c r="K121" i="83"/>
  <c r="I121" i="83"/>
  <c r="G121" i="83"/>
  <c r="E121" i="83"/>
  <c r="C121" i="83"/>
  <c r="R120" i="83"/>
  <c r="S120" i="83"/>
  <c r="Q120" i="83"/>
  <c r="O120" i="83"/>
  <c r="M120" i="83"/>
  <c r="K120" i="83"/>
  <c r="I120" i="83"/>
  <c r="G120" i="83"/>
  <c r="E120" i="83"/>
  <c r="C120" i="83"/>
  <c r="R119" i="83"/>
  <c r="S119" i="83"/>
  <c r="Q119" i="83"/>
  <c r="O119" i="83"/>
  <c r="M119" i="83"/>
  <c r="K119" i="83"/>
  <c r="I119" i="83"/>
  <c r="G119" i="83"/>
  <c r="E119" i="83"/>
  <c r="C119" i="83"/>
  <c r="R118" i="83"/>
  <c r="S118" i="83"/>
  <c r="Q118" i="83"/>
  <c r="O118" i="83"/>
  <c r="M118" i="83"/>
  <c r="K118" i="83"/>
  <c r="I118" i="83"/>
  <c r="G118" i="83"/>
  <c r="E118" i="83"/>
  <c r="C118" i="83"/>
  <c r="R117" i="83"/>
  <c r="S117" i="83"/>
  <c r="Q117" i="83"/>
  <c r="O117" i="83"/>
  <c r="M117" i="83"/>
  <c r="K117" i="83"/>
  <c r="I117" i="83"/>
  <c r="G117" i="83"/>
  <c r="E117" i="83"/>
  <c r="C117" i="83"/>
  <c r="R116" i="83"/>
  <c r="S116" i="83"/>
  <c r="Q116" i="83"/>
  <c r="O116" i="83"/>
  <c r="M116" i="83"/>
  <c r="K116" i="83"/>
  <c r="I116" i="83"/>
  <c r="G116" i="83"/>
  <c r="E116" i="83"/>
  <c r="C116" i="83"/>
  <c r="R115" i="83"/>
  <c r="S115" i="83"/>
  <c r="Q115" i="83"/>
  <c r="O115" i="83"/>
  <c r="M115" i="83"/>
  <c r="K115" i="83"/>
  <c r="I115" i="83"/>
  <c r="G115" i="83"/>
  <c r="E115" i="83"/>
  <c r="C115" i="83"/>
  <c r="R114" i="83"/>
  <c r="S114" i="83"/>
  <c r="Q114" i="83"/>
  <c r="O114" i="83"/>
  <c r="M114" i="83"/>
  <c r="K114" i="83"/>
  <c r="I114" i="83"/>
  <c r="G114" i="83"/>
  <c r="E114" i="83"/>
  <c r="C114" i="83"/>
  <c r="R113" i="83"/>
  <c r="S113" i="83"/>
  <c r="Q113" i="83"/>
  <c r="O113" i="83"/>
  <c r="M113" i="83"/>
  <c r="K113" i="83"/>
  <c r="I113" i="83"/>
  <c r="G113" i="83"/>
  <c r="E113" i="83"/>
  <c r="C113" i="83"/>
  <c r="R112" i="83"/>
  <c r="S112" i="83"/>
  <c r="Q112" i="83"/>
  <c r="O112" i="83"/>
  <c r="M112" i="83"/>
  <c r="K112" i="83"/>
  <c r="I112" i="83"/>
  <c r="G112" i="83"/>
  <c r="E112" i="83"/>
  <c r="C112" i="83"/>
  <c r="R111" i="83"/>
  <c r="S111" i="83"/>
  <c r="Q111" i="83"/>
  <c r="O111" i="83"/>
  <c r="M111" i="83"/>
  <c r="K111" i="83"/>
  <c r="I111" i="83"/>
  <c r="G111" i="83"/>
  <c r="E111" i="83"/>
  <c r="C111" i="83"/>
  <c r="R110" i="83"/>
  <c r="S110" i="83"/>
  <c r="Q110" i="83"/>
  <c r="O110" i="83"/>
  <c r="M110" i="83"/>
  <c r="K110" i="83"/>
  <c r="I110" i="83"/>
  <c r="G110" i="83"/>
  <c r="E110" i="83"/>
  <c r="C110" i="83"/>
  <c r="R109" i="83"/>
  <c r="S109" i="83"/>
  <c r="Q109" i="83"/>
  <c r="O109" i="83"/>
  <c r="M109" i="83"/>
  <c r="K109" i="83"/>
  <c r="I109" i="83"/>
  <c r="G109" i="83"/>
  <c r="E109" i="83"/>
  <c r="C109" i="83"/>
  <c r="R108" i="83"/>
  <c r="S108" i="83"/>
  <c r="Q108" i="83"/>
  <c r="O108" i="83"/>
  <c r="M108" i="83"/>
  <c r="K108" i="83"/>
  <c r="I108" i="83"/>
  <c r="G108" i="83"/>
  <c r="E108" i="83"/>
  <c r="C108" i="83"/>
  <c r="R107" i="83"/>
  <c r="S107" i="83"/>
  <c r="Q107" i="83"/>
  <c r="O107" i="83"/>
  <c r="M107" i="83"/>
  <c r="K107" i="83"/>
  <c r="I107" i="83"/>
  <c r="G107" i="83"/>
  <c r="E107" i="83"/>
  <c r="C107" i="83"/>
  <c r="R106" i="83"/>
  <c r="S106" i="83"/>
  <c r="Q106" i="83"/>
  <c r="O106" i="83"/>
  <c r="M106" i="83"/>
  <c r="K106" i="83"/>
  <c r="I106" i="83"/>
  <c r="G106" i="83"/>
  <c r="E106" i="83"/>
  <c r="C106" i="83"/>
  <c r="R105" i="83"/>
  <c r="S105" i="83"/>
  <c r="Q105" i="83"/>
  <c r="O105" i="83"/>
  <c r="M105" i="83"/>
  <c r="K105" i="83"/>
  <c r="I105" i="83"/>
  <c r="G105" i="83"/>
  <c r="E105" i="83"/>
  <c r="C105" i="83"/>
  <c r="R104" i="83"/>
  <c r="S104" i="83"/>
  <c r="Q104" i="83"/>
  <c r="O104" i="83"/>
  <c r="M104" i="83"/>
  <c r="K104" i="83"/>
  <c r="I104" i="83"/>
  <c r="G104" i="83"/>
  <c r="E104" i="83"/>
  <c r="C104" i="83"/>
  <c r="R103" i="83"/>
  <c r="S103" i="83"/>
  <c r="Q103" i="83"/>
  <c r="O103" i="83"/>
  <c r="M103" i="83"/>
  <c r="K103" i="83"/>
  <c r="I103" i="83"/>
  <c r="G103" i="83"/>
  <c r="E103" i="83"/>
  <c r="C103" i="83"/>
  <c r="R102" i="83"/>
  <c r="S102" i="83"/>
  <c r="Q102" i="83"/>
  <c r="O102" i="83"/>
  <c r="M102" i="83"/>
  <c r="K102" i="83"/>
  <c r="I102" i="83"/>
  <c r="G102" i="83"/>
  <c r="E102" i="83"/>
  <c r="C102" i="83"/>
  <c r="R101" i="83"/>
  <c r="S101" i="83"/>
  <c r="Q101" i="83"/>
  <c r="O101" i="83"/>
  <c r="M101" i="83"/>
  <c r="K101" i="83"/>
  <c r="I101" i="83"/>
  <c r="G101" i="83"/>
  <c r="E101" i="83"/>
  <c r="C101" i="83"/>
  <c r="R100" i="83"/>
  <c r="S100" i="83"/>
  <c r="Q100" i="83"/>
  <c r="O100" i="83"/>
  <c r="M100" i="83"/>
  <c r="K100" i="83"/>
  <c r="I100" i="83"/>
  <c r="G100" i="83"/>
  <c r="E100" i="83"/>
  <c r="C100" i="83"/>
  <c r="R99" i="83"/>
  <c r="S99" i="83"/>
  <c r="Q99" i="83"/>
  <c r="O99" i="83"/>
  <c r="M99" i="83"/>
  <c r="K99" i="83"/>
  <c r="I99" i="83"/>
  <c r="G99" i="83"/>
  <c r="E99" i="83"/>
  <c r="C99" i="83"/>
  <c r="R98" i="83"/>
  <c r="S98" i="83"/>
  <c r="Q98" i="83"/>
  <c r="O98" i="83"/>
  <c r="M98" i="83"/>
  <c r="K98" i="83"/>
  <c r="I98" i="83"/>
  <c r="G98" i="83"/>
  <c r="E98" i="83"/>
  <c r="C98" i="83"/>
  <c r="R97" i="83"/>
  <c r="S97" i="83"/>
  <c r="Q97" i="83"/>
  <c r="O97" i="83"/>
  <c r="M97" i="83"/>
  <c r="K97" i="83"/>
  <c r="I97" i="83"/>
  <c r="G97" i="83"/>
  <c r="E97" i="83"/>
  <c r="C97" i="83"/>
  <c r="R96" i="83"/>
  <c r="S96" i="83"/>
  <c r="Q96" i="83"/>
  <c r="O96" i="83"/>
  <c r="M96" i="83"/>
  <c r="K96" i="83"/>
  <c r="I96" i="83"/>
  <c r="G96" i="83"/>
  <c r="E96" i="83"/>
  <c r="C96" i="83"/>
  <c r="R95" i="83"/>
  <c r="S95" i="83"/>
  <c r="Q95" i="83"/>
  <c r="O95" i="83"/>
  <c r="M95" i="83"/>
  <c r="K95" i="83"/>
  <c r="I95" i="83"/>
  <c r="G95" i="83"/>
  <c r="E95" i="83"/>
  <c r="C95" i="83"/>
  <c r="R94" i="83"/>
  <c r="S94" i="83"/>
  <c r="Q94" i="83"/>
  <c r="O94" i="83"/>
  <c r="M94" i="83"/>
  <c r="K94" i="83"/>
  <c r="I94" i="83"/>
  <c r="G94" i="83"/>
  <c r="E94" i="83"/>
  <c r="C94" i="83"/>
  <c r="R93" i="83"/>
  <c r="S93" i="83"/>
  <c r="Q93" i="83"/>
  <c r="O93" i="83"/>
  <c r="M93" i="83"/>
  <c r="K93" i="83"/>
  <c r="I93" i="83"/>
  <c r="G93" i="83"/>
  <c r="E93" i="83"/>
  <c r="C93" i="83"/>
  <c r="R92" i="83"/>
  <c r="S92" i="83"/>
  <c r="Q92" i="83"/>
  <c r="O92" i="83"/>
  <c r="M92" i="83"/>
  <c r="K92" i="83"/>
  <c r="I92" i="83"/>
  <c r="G92" i="83"/>
  <c r="E92" i="83"/>
  <c r="C92" i="83"/>
  <c r="R91" i="83"/>
  <c r="S91" i="83"/>
  <c r="Q91" i="83"/>
  <c r="O91" i="83"/>
  <c r="M91" i="83"/>
  <c r="K91" i="83"/>
  <c r="I91" i="83"/>
  <c r="G91" i="83"/>
  <c r="E91" i="83"/>
  <c r="C91" i="83"/>
  <c r="R90" i="83"/>
  <c r="S90" i="83"/>
  <c r="Q90" i="83"/>
  <c r="O90" i="83"/>
  <c r="M90" i="83"/>
  <c r="K90" i="83"/>
  <c r="I90" i="83"/>
  <c r="G90" i="83"/>
  <c r="E90" i="83"/>
  <c r="C90" i="83"/>
  <c r="R89" i="83"/>
  <c r="S89" i="83"/>
  <c r="Q89" i="83"/>
  <c r="O89" i="83"/>
  <c r="M89" i="83"/>
  <c r="K89" i="83"/>
  <c r="I89" i="83"/>
  <c r="G89" i="83"/>
  <c r="E89" i="83"/>
  <c r="C89" i="83"/>
  <c r="R88" i="83"/>
  <c r="S88" i="83"/>
  <c r="Q88" i="83"/>
  <c r="O88" i="83"/>
  <c r="M88" i="83"/>
  <c r="K88" i="83"/>
  <c r="I88" i="83"/>
  <c r="G88" i="83"/>
  <c r="E88" i="83"/>
  <c r="C88" i="83"/>
  <c r="R87" i="83"/>
  <c r="S87" i="83"/>
  <c r="Q87" i="83"/>
  <c r="O87" i="83"/>
  <c r="M87" i="83"/>
  <c r="K87" i="83"/>
  <c r="I87" i="83"/>
  <c r="G87" i="83"/>
  <c r="E87" i="83"/>
  <c r="C87" i="83"/>
  <c r="R86" i="83"/>
  <c r="S86" i="83"/>
  <c r="Q86" i="83"/>
  <c r="O86" i="83"/>
  <c r="M86" i="83"/>
  <c r="K86" i="83"/>
  <c r="I86" i="83"/>
  <c r="G86" i="83"/>
  <c r="E86" i="83"/>
  <c r="C86" i="83"/>
  <c r="R85" i="83"/>
  <c r="S85" i="83"/>
  <c r="Q85" i="83"/>
  <c r="O85" i="83"/>
  <c r="M85" i="83"/>
  <c r="K85" i="83"/>
  <c r="I85" i="83"/>
  <c r="G85" i="83"/>
  <c r="E85" i="83"/>
  <c r="C85" i="83"/>
  <c r="R84" i="83"/>
  <c r="S84" i="83"/>
  <c r="Q84" i="83"/>
  <c r="O84" i="83"/>
  <c r="M84" i="83"/>
  <c r="K84" i="83"/>
  <c r="I84" i="83"/>
  <c r="G84" i="83"/>
  <c r="E84" i="83"/>
  <c r="C84" i="83"/>
  <c r="R83" i="83"/>
  <c r="S83" i="83"/>
  <c r="Q83" i="83"/>
  <c r="O83" i="83"/>
  <c r="M83" i="83"/>
  <c r="K83" i="83"/>
  <c r="I83" i="83"/>
  <c r="G83" i="83"/>
  <c r="E83" i="83"/>
  <c r="C83" i="83"/>
  <c r="R82" i="83"/>
  <c r="S82" i="83"/>
  <c r="Q82" i="83"/>
  <c r="O82" i="83"/>
  <c r="M82" i="83"/>
  <c r="K82" i="83"/>
  <c r="I82" i="83"/>
  <c r="G82" i="83"/>
  <c r="E82" i="83"/>
  <c r="C82" i="83"/>
  <c r="R81" i="83"/>
  <c r="S81" i="83"/>
  <c r="Q81" i="83"/>
  <c r="O81" i="83"/>
  <c r="M81" i="83"/>
  <c r="K81" i="83"/>
  <c r="I81" i="83"/>
  <c r="G81" i="83"/>
  <c r="E81" i="83"/>
  <c r="C81" i="83"/>
  <c r="R80" i="83"/>
  <c r="S80" i="83"/>
  <c r="Q80" i="83"/>
  <c r="O80" i="83"/>
  <c r="M80" i="83"/>
  <c r="K80" i="83"/>
  <c r="I80" i="83"/>
  <c r="G80" i="83"/>
  <c r="E80" i="83"/>
  <c r="C80" i="83"/>
  <c r="R79" i="83"/>
  <c r="S79" i="83"/>
  <c r="Q79" i="83"/>
  <c r="O79" i="83"/>
  <c r="M79" i="83"/>
  <c r="K79" i="83"/>
  <c r="I79" i="83"/>
  <c r="G79" i="83"/>
  <c r="E79" i="83"/>
  <c r="C79" i="83"/>
  <c r="R78" i="83"/>
  <c r="S78" i="83"/>
  <c r="Q78" i="83"/>
  <c r="O78" i="83"/>
  <c r="M78" i="83"/>
  <c r="K78" i="83"/>
  <c r="I78" i="83"/>
  <c r="G78" i="83"/>
  <c r="E78" i="83"/>
  <c r="C78" i="83"/>
  <c r="R77" i="83"/>
  <c r="S77" i="83"/>
  <c r="Q77" i="83"/>
  <c r="O77" i="83"/>
  <c r="M77" i="83"/>
  <c r="K77" i="83"/>
  <c r="I77" i="83"/>
  <c r="G77" i="83"/>
  <c r="E77" i="83"/>
  <c r="C77" i="83"/>
  <c r="R76" i="83"/>
  <c r="S76" i="83"/>
  <c r="Q76" i="83"/>
  <c r="O76" i="83"/>
  <c r="M76" i="83"/>
  <c r="K76" i="83"/>
  <c r="I76" i="83"/>
  <c r="G76" i="83"/>
  <c r="E76" i="83"/>
  <c r="C76" i="83"/>
  <c r="R75" i="83"/>
  <c r="S75" i="83"/>
  <c r="Q75" i="83"/>
  <c r="O75" i="83"/>
  <c r="M75" i="83"/>
  <c r="K75" i="83"/>
  <c r="I75" i="83"/>
  <c r="G75" i="83"/>
  <c r="E75" i="83"/>
  <c r="C75" i="83"/>
  <c r="R74" i="83"/>
  <c r="S74" i="83"/>
  <c r="Q74" i="83"/>
  <c r="O74" i="83"/>
  <c r="M74" i="83"/>
  <c r="K74" i="83"/>
  <c r="I74" i="83"/>
  <c r="G74" i="83"/>
  <c r="E74" i="83"/>
  <c r="C74" i="83"/>
  <c r="R73" i="83"/>
  <c r="S73" i="83"/>
  <c r="Q73" i="83"/>
  <c r="O73" i="83"/>
  <c r="M73" i="83"/>
  <c r="K73" i="83"/>
  <c r="I73" i="83"/>
  <c r="G73" i="83"/>
  <c r="E73" i="83"/>
  <c r="C73" i="83"/>
  <c r="R72" i="83"/>
  <c r="S72" i="83"/>
  <c r="Q72" i="83"/>
  <c r="O72" i="83"/>
  <c r="M72" i="83"/>
  <c r="K72" i="83"/>
  <c r="I72" i="83"/>
  <c r="G72" i="83"/>
  <c r="E72" i="83"/>
  <c r="C72" i="83"/>
  <c r="R71" i="83"/>
  <c r="S71" i="83"/>
  <c r="Q71" i="83"/>
  <c r="O71" i="83"/>
  <c r="M71" i="83"/>
  <c r="K71" i="83"/>
  <c r="I71" i="83"/>
  <c r="G71" i="83"/>
  <c r="E71" i="83"/>
  <c r="C71" i="83"/>
  <c r="R70" i="83"/>
  <c r="S70" i="83"/>
  <c r="Q70" i="83"/>
  <c r="O70" i="83"/>
  <c r="M70" i="83"/>
  <c r="K70" i="83"/>
  <c r="I70" i="83"/>
  <c r="G70" i="83"/>
  <c r="E70" i="83"/>
  <c r="C70" i="83"/>
  <c r="R69" i="83"/>
  <c r="S69" i="83"/>
  <c r="Q69" i="83"/>
  <c r="O69" i="83"/>
  <c r="M69" i="83"/>
  <c r="K69" i="83"/>
  <c r="I69" i="83"/>
  <c r="G69" i="83"/>
  <c r="E69" i="83"/>
  <c r="C69" i="83"/>
  <c r="R68" i="83"/>
  <c r="S68" i="83"/>
  <c r="Q68" i="83"/>
  <c r="O68" i="83"/>
  <c r="M68" i="83"/>
  <c r="K68" i="83"/>
  <c r="I68" i="83"/>
  <c r="G68" i="83"/>
  <c r="E68" i="83"/>
  <c r="C68" i="83"/>
  <c r="R67" i="83"/>
  <c r="S67" i="83"/>
  <c r="Q67" i="83"/>
  <c r="O67" i="83"/>
  <c r="M67" i="83"/>
  <c r="K67" i="83"/>
  <c r="I67" i="83"/>
  <c r="G67" i="83"/>
  <c r="E67" i="83"/>
  <c r="C67" i="83"/>
  <c r="R66" i="83"/>
  <c r="S66" i="83"/>
  <c r="Q66" i="83"/>
  <c r="O66" i="83"/>
  <c r="M66" i="83"/>
  <c r="K66" i="83"/>
  <c r="I66" i="83"/>
  <c r="G66" i="83"/>
  <c r="E66" i="83"/>
  <c r="C66" i="83"/>
  <c r="R65" i="83"/>
  <c r="S65" i="83"/>
  <c r="Q65" i="83"/>
  <c r="O65" i="83"/>
  <c r="M65" i="83"/>
  <c r="K65" i="83"/>
  <c r="I65" i="83"/>
  <c r="G65" i="83"/>
  <c r="E65" i="83"/>
  <c r="C65" i="83"/>
  <c r="R64" i="83"/>
  <c r="S64" i="83"/>
  <c r="Q64" i="83"/>
  <c r="O64" i="83"/>
  <c r="M64" i="83"/>
  <c r="K64" i="83"/>
  <c r="I64" i="83"/>
  <c r="G64" i="83"/>
  <c r="E64" i="83"/>
  <c r="C64" i="83"/>
  <c r="R63" i="83"/>
  <c r="S63" i="83"/>
  <c r="Q63" i="83"/>
  <c r="O63" i="83"/>
  <c r="M63" i="83"/>
  <c r="K63" i="83"/>
  <c r="I63" i="83"/>
  <c r="G63" i="83"/>
  <c r="E63" i="83"/>
  <c r="C63" i="83"/>
  <c r="R62" i="83"/>
  <c r="S62" i="83"/>
  <c r="Q62" i="83"/>
  <c r="O62" i="83"/>
  <c r="M62" i="83"/>
  <c r="K62" i="83"/>
  <c r="I62" i="83"/>
  <c r="G62" i="83"/>
  <c r="E62" i="83"/>
  <c r="C62" i="83"/>
  <c r="R61" i="83"/>
  <c r="S61" i="83"/>
  <c r="Q61" i="83"/>
  <c r="O61" i="83"/>
  <c r="M61" i="83"/>
  <c r="K61" i="83"/>
  <c r="I61" i="83"/>
  <c r="G61" i="83"/>
  <c r="E61" i="83"/>
  <c r="C61" i="83"/>
  <c r="R60" i="83"/>
  <c r="S60" i="83"/>
  <c r="Q60" i="83"/>
  <c r="O60" i="83"/>
  <c r="M60" i="83"/>
  <c r="K60" i="83"/>
  <c r="I60" i="83"/>
  <c r="G60" i="83"/>
  <c r="E60" i="83"/>
  <c r="C60" i="83"/>
  <c r="R59" i="83"/>
  <c r="S59" i="83"/>
  <c r="Q59" i="83"/>
  <c r="O59" i="83"/>
  <c r="M59" i="83"/>
  <c r="K59" i="83"/>
  <c r="I59" i="83"/>
  <c r="G59" i="83"/>
  <c r="E59" i="83"/>
  <c r="C59" i="83"/>
  <c r="R58" i="83"/>
  <c r="S58" i="83"/>
  <c r="Q58" i="83"/>
  <c r="O58" i="83"/>
  <c r="M58" i="83"/>
  <c r="K58" i="83"/>
  <c r="I58" i="83"/>
  <c r="G58" i="83"/>
  <c r="E58" i="83"/>
  <c r="C58" i="83"/>
  <c r="R57" i="83"/>
  <c r="S57" i="83"/>
  <c r="Q57" i="83"/>
  <c r="O57" i="83"/>
  <c r="M57" i="83"/>
  <c r="K57" i="83"/>
  <c r="I57" i="83"/>
  <c r="G57" i="83"/>
  <c r="E57" i="83"/>
  <c r="C57" i="83"/>
  <c r="R56" i="83"/>
  <c r="S56" i="83"/>
  <c r="Q56" i="83"/>
  <c r="O56" i="83"/>
  <c r="M56" i="83"/>
  <c r="K56" i="83"/>
  <c r="I56" i="83"/>
  <c r="G56" i="83"/>
  <c r="E56" i="83"/>
  <c r="C56" i="83"/>
  <c r="R55" i="83"/>
  <c r="S55" i="83"/>
  <c r="Q55" i="83"/>
  <c r="O55" i="83"/>
  <c r="M55" i="83"/>
  <c r="K55" i="83"/>
  <c r="I55" i="83"/>
  <c r="G55" i="83"/>
  <c r="E55" i="83"/>
  <c r="C55" i="83"/>
  <c r="R54" i="83"/>
  <c r="S54" i="83"/>
  <c r="Q54" i="83"/>
  <c r="O54" i="83"/>
  <c r="M54" i="83"/>
  <c r="K54" i="83"/>
  <c r="I54" i="83"/>
  <c r="G54" i="83"/>
  <c r="E54" i="83"/>
  <c r="C54" i="83"/>
  <c r="R53" i="83"/>
  <c r="S53" i="83"/>
  <c r="Q53" i="83"/>
  <c r="O53" i="83"/>
  <c r="M53" i="83"/>
  <c r="K53" i="83"/>
  <c r="I53" i="83"/>
  <c r="G53" i="83"/>
  <c r="E53" i="83"/>
  <c r="C53" i="83"/>
  <c r="R52" i="83"/>
  <c r="S52" i="83"/>
  <c r="Q52" i="83"/>
  <c r="O52" i="83"/>
  <c r="M52" i="83"/>
  <c r="K52" i="83"/>
  <c r="I52" i="83"/>
  <c r="G52" i="83"/>
  <c r="E52" i="83"/>
  <c r="C52" i="83"/>
  <c r="R51" i="83"/>
  <c r="S51" i="83"/>
  <c r="Q51" i="83"/>
  <c r="O51" i="83"/>
  <c r="M51" i="83"/>
  <c r="K51" i="83"/>
  <c r="I51" i="83"/>
  <c r="G51" i="83"/>
  <c r="E51" i="83"/>
  <c r="C51" i="83"/>
  <c r="R50" i="83"/>
  <c r="S50" i="83"/>
  <c r="Q50" i="83"/>
  <c r="O50" i="83"/>
  <c r="M50" i="83"/>
  <c r="K50" i="83"/>
  <c r="I50" i="83"/>
  <c r="G50" i="83"/>
  <c r="E50" i="83"/>
  <c r="C50" i="83"/>
  <c r="R49" i="83"/>
  <c r="S49" i="83"/>
  <c r="Q49" i="83"/>
  <c r="O49" i="83"/>
  <c r="M49" i="83"/>
  <c r="K49" i="83"/>
  <c r="I49" i="83"/>
  <c r="G49" i="83"/>
  <c r="E49" i="83"/>
  <c r="C49" i="83"/>
  <c r="R48" i="83"/>
  <c r="S48" i="83"/>
  <c r="Q48" i="83"/>
  <c r="O48" i="83"/>
  <c r="M48" i="83"/>
  <c r="K48" i="83"/>
  <c r="I48" i="83"/>
  <c r="G48" i="83"/>
  <c r="E48" i="83"/>
  <c r="C48" i="83"/>
  <c r="R47" i="83"/>
  <c r="S47" i="83"/>
  <c r="Q47" i="83"/>
  <c r="O47" i="83"/>
  <c r="M47" i="83"/>
  <c r="K47" i="83"/>
  <c r="I47" i="83"/>
  <c r="G47" i="83"/>
  <c r="E47" i="83"/>
  <c r="C47" i="83"/>
  <c r="R46" i="83"/>
  <c r="S46" i="83"/>
  <c r="Q46" i="83"/>
  <c r="O46" i="83"/>
  <c r="M46" i="83"/>
  <c r="K46" i="83"/>
  <c r="I46" i="83"/>
  <c r="G46" i="83"/>
  <c r="E46" i="83"/>
  <c r="C46" i="83"/>
  <c r="R45" i="83"/>
  <c r="S45" i="83"/>
  <c r="Q45" i="83"/>
  <c r="O45" i="83"/>
  <c r="M45" i="83"/>
  <c r="K45" i="83"/>
  <c r="I45" i="83"/>
  <c r="G45" i="83"/>
  <c r="E45" i="83"/>
  <c r="C45" i="83"/>
  <c r="R44" i="83"/>
  <c r="S44" i="83"/>
  <c r="Q44" i="83"/>
  <c r="O44" i="83"/>
  <c r="M44" i="83"/>
  <c r="K44" i="83"/>
  <c r="I44" i="83"/>
  <c r="G44" i="83"/>
  <c r="E44" i="83"/>
  <c r="C44" i="83"/>
  <c r="R43" i="83"/>
  <c r="S43" i="83"/>
  <c r="Q43" i="83"/>
  <c r="O43" i="83"/>
  <c r="M43" i="83"/>
  <c r="K43" i="83"/>
  <c r="I43" i="83"/>
  <c r="G43" i="83"/>
  <c r="E43" i="83"/>
  <c r="C43" i="83"/>
  <c r="R42" i="83"/>
  <c r="S42" i="83"/>
  <c r="Q42" i="83"/>
  <c r="O42" i="83"/>
  <c r="M42" i="83"/>
  <c r="K42" i="83"/>
  <c r="I42" i="83"/>
  <c r="G42" i="83"/>
  <c r="E42" i="83"/>
  <c r="C42" i="83"/>
  <c r="R41" i="83"/>
  <c r="S41" i="83"/>
  <c r="Q41" i="83"/>
  <c r="O41" i="83"/>
  <c r="M41" i="83"/>
  <c r="K41" i="83"/>
  <c r="I41" i="83"/>
  <c r="G41" i="83"/>
  <c r="E41" i="83"/>
  <c r="C41" i="83"/>
  <c r="R40" i="83"/>
  <c r="S40" i="83"/>
  <c r="Q40" i="83"/>
  <c r="O40" i="83"/>
  <c r="M40" i="83"/>
  <c r="K40" i="83"/>
  <c r="I40" i="83"/>
  <c r="G40" i="83"/>
  <c r="E40" i="83"/>
  <c r="C40" i="83"/>
  <c r="R39" i="83"/>
  <c r="S39" i="83"/>
  <c r="Q39" i="83"/>
  <c r="O39" i="83"/>
  <c r="M39" i="83"/>
  <c r="K39" i="83"/>
  <c r="I39" i="83"/>
  <c r="G39" i="83"/>
  <c r="E39" i="83"/>
  <c r="C39" i="83"/>
  <c r="R38" i="83"/>
  <c r="S38" i="83"/>
  <c r="Q38" i="83"/>
  <c r="O38" i="83"/>
  <c r="M38" i="83"/>
  <c r="K38" i="83"/>
  <c r="I38" i="83"/>
  <c r="G38" i="83"/>
  <c r="E38" i="83"/>
  <c r="C38" i="83"/>
  <c r="R37" i="83"/>
  <c r="S37" i="83"/>
  <c r="Q37" i="83"/>
  <c r="O37" i="83"/>
  <c r="M37" i="83"/>
  <c r="K37" i="83"/>
  <c r="I37" i="83"/>
  <c r="G37" i="83"/>
  <c r="E37" i="83"/>
  <c r="C37" i="83"/>
  <c r="R36" i="83"/>
  <c r="S36" i="83"/>
  <c r="Q36" i="83"/>
  <c r="O36" i="83"/>
  <c r="M36" i="83"/>
  <c r="K36" i="83"/>
  <c r="I36" i="83"/>
  <c r="G36" i="83"/>
  <c r="E36" i="83"/>
  <c r="C36" i="83"/>
  <c r="R35" i="83"/>
  <c r="S35" i="83"/>
  <c r="Q35" i="83"/>
  <c r="O35" i="83"/>
  <c r="M35" i="83"/>
  <c r="K35" i="83"/>
  <c r="I35" i="83"/>
  <c r="G35" i="83"/>
  <c r="E35" i="83"/>
  <c r="C35" i="83"/>
  <c r="C34" i="83"/>
  <c r="E34" i="83"/>
  <c r="G34" i="83"/>
  <c r="I34" i="83"/>
  <c r="K34" i="83"/>
  <c r="M34" i="83"/>
  <c r="O34" i="83"/>
  <c r="Q34" i="83"/>
  <c r="R34" i="83"/>
  <c r="S34" i="83"/>
  <c r="C33" i="83"/>
  <c r="E33" i="83"/>
  <c r="G33" i="83"/>
  <c r="I33" i="83"/>
  <c r="K33" i="83"/>
  <c r="M33" i="83"/>
  <c r="O33" i="83"/>
  <c r="Q33" i="83"/>
  <c r="R33" i="83"/>
  <c r="S33" i="83"/>
  <c r="C32" i="83"/>
  <c r="E32" i="83"/>
  <c r="G32" i="83"/>
  <c r="I32" i="83"/>
  <c r="K32" i="83"/>
  <c r="M32" i="83"/>
  <c r="O32" i="83"/>
  <c r="Q32" i="83"/>
  <c r="R32" i="83"/>
  <c r="S32" i="83"/>
  <c r="C31" i="83"/>
  <c r="E31" i="83"/>
  <c r="G31" i="83"/>
  <c r="I31" i="83"/>
  <c r="K31" i="83"/>
  <c r="M31" i="83"/>
  <c r="O31" i="83"/>
  <c r="Q31" i="83"/>
  <c r="R31" i="83"/>
  <c r="S31" i="83"/>
  <c r="C30" i="83"/>
  <c r="E30" i="83"/>
  <c r="G30" i="83"/>
  <c r="I30" i="83"/>
  <c r="K30" i="83"/>
  <c r="M30" i="83"/>
  <c r="O30" i="83"/>
  <c r="Q30" i="83"/>
  <c r="R30" i="83"/>
  <c r="S30" i="83"/>
  <c r="C29" i="83"/>
  <c r="E29" i="83"/>
  <c r="G29" i="83"/>
  <c r="I29" i="83"/>
  <c r="K29" i="83"/>
  <c r="M29" i="83"/>
  <c r="O29" i="83"/>
  <c r="Q29" i="83"/>
  <c r="R29" i="83"/>
  <c r="S29" i="83"/>
  <c r="C28" i="83"/>
  <c r="E28" i="83"/>
  <c r="G28" i="83"/>
  <c r="I28" i="83"/>
  <c r="K28" i="83"/>
  <c r="M28" i="83"/>
  <c r="O28" i="83"/>
  <c r="Q28" i="83"/>
  <c r="R28" i="83"/>
  <c r="S28" i="83"/>
  <c r="C27" i="83"/>
  <c r="E27" i="83"/>
  <c r="G27" i="83"/>
  <c r="I27" i="83"/>
  <c r="K27" i="83"/>
  <c r="M27" i="83"/>
  <c r="O27" i="83"/>
  <c r="Q27" i="83"/>
  <c r="R27" i="83"/>
  <c r="S27" i="83"/>
  <c r="C26" i="83"/>
  <c r="E26" i="83"/>
  <c r="G26" i="83"/>
  <c r="I26" i="83"/>
  <c r="K26" i="83"/>
  <c r="M26" i="83"/>
  <c r="O26" i="83"/>
  <c r="Q26" i="83"/>
  <c r="R26" i="83"/>
  <c r="S26" i="83"/>
  <c r="C25" i="83"/>
  <c r="E25" i="83"/>
  <c r="G25" i="83"/>
  <c r="I25" i="83"/>
  <c r="K25" i="83"/>
  <c r="M25" i="83"/>
  <c r="O25" i="83"/>
  <c r="Q25" i="83"/>
  <c r="R25" i="83"/>
  <c r="S25" i="83"/>
  <c r="S24" i="83"/>
  <c r="P23" i="83"/>
  <c r="N23" i="83"/>
  <c r="L23" i="83"/>
  <c r="J23" i="83"/>
  <c r="H23" i="83"/>
  <c r="F23" i="83"/>
  <c r="D23" i="83"/>
  <c r="S22" i="83"/>
  <c r="B22" i="83"/>
  <c r="R22" i="83"/>
  <c r="B21" i="83"/>
  <c r="F20" i="83"/>
  <c r="B20" i="83"/>
  <c r="D12" i="83"/>
  <c r="E12" i="83"/>
  <c r="F12" i="83"/>
  <c r="G12" i="83"/>
  <c r="H12" i="83"/>
  <c r="I12" i="83"/>
  <c r="J12" i="83"/>
  <c r="K12" i="83"/>
  <c r="L12" i="83"/>
  <c r="M12" i="83"/>
  <c r="N12" i="83"/>
  <c r="O12" i="83"/>
  <c r="P12" i="83"/>
  <c r="Q12" i="83"/>
  <c r="R12" i="83"/>
  <c r="S12" i="83"/>
  <c r="D10" i="83"/>
  <c r="E10" i="83"/>
  <c r="F10" i="83"/>
  <c r="G10" i="83"/>
  <c r="H10" i="83"/>
  <c r="I10" i="83"/>
  <c r="J10" i="83"/>
  <c r="K10" i="83"/>
  <c r="L10" i="83"/>
  <c r="M10" i="83"/>
  <c r="N10" i="83"/>
  <c r="O10" i="83"/>
  <c r="P10" i="83"/>
  <c r="Q10" i="83"/>
  <c r="R10" i="83"/>
  <c r="S10" i="83"/>
  <c r="D8" i="83"/>
  <c r="E8" i="83"/>
  <c r="F8" i="83"/>
  <c r="G8" i="83"/>
  <c r="H8" i="83"/>
  <c r="I8" i="83"/>
  <c r="J8" i="83"/>
  <c r="K8" i="83"/>
  <c r="L8" i="83"/>
  <c r="M8" i="83"/>
  <c r="N8" i="83"/>
  <c r="O8" i="83"/>
  <c r="P8" i="83"/>
  <c r="Q8" i="83"/>
  <c r="R8" i="83"/>
  <c r="S8" i="83"/>
  <c r="D6" i="83"/>
  <c r="E6" i="83"/>
  <c r="F6" i="83"/>
  <c r="G6" i="83"/>
  <c r="H6" i="83"/>
  <c r="I6" i="83"/>
  <c r="J6" i="83"/>
  <c r="K6" i="83"/>
  <c r="L6" i="83"/>
  <c r="M6" i="83"/>
  <c r="N6" i="83"/>
  <c r="O6" i="83"/>
  <c r="P6" i="83"/>
  <c r="Q6" i="83"/>
  <c r="R6" i="83"/>
  <c r="S6" i="83"/>
  <c r="S2" i="83"/>
  <c r="R2" i="83"/>
  <c r="Q2" i="83"/>
  <c r="P2" i="83"/>
  <c r="O2" i="83"/>
  <c r="N2" i="83"/>
  <c r="M2" i="83"/>
  <c r="L2" i="83"/>
  <c r="K2" i="83"/>
  <c r="J2" i="83"/>
  <c r="I2" i="83"/>
  <c r="H2" i="83"/>
  <c r="G2" i="83"/>
  <c r="F2" i="83"/>
  <c r="E2" i="83"/>
  <c r="D2" i="83"/>
  <c r="C2" i="83"/>
  <c r="E111" i="82"/>
  <c r="H111" i="82"/>
  <c r="D126" i="82"/>
  <c r="D127" i="82"/>
  <c r="A126" i="82"/>
  <c r="E109" i="82"/>
  <c r="H109" i="82"/>
  <c r="D124" i="82"/>
  <c r="D125" i="82"/>
  <c r="A124" i="82"/>
  <c r="E107" i="82"/>
  <c r="B2" i="67"/>
  <c r="F67" i="34"/>
  <c r="G67" i="34"/>
  <c r="H67" i="34"/>
  <c r="D112" i="34"/>
  <c r="E112" i="34"/>
  <c r="F112" i="34"/>
  <c r="G112" i="34"/>
  <c r="D3" i="34"/>
  <c r="B2" i="34"/>
  <c r="C19" i="82"/>
  <c r="B2" i="81"/>
  <c r="D19" i="82"/>
  <c r="G19" i="82"/>
  <c r="C24" i="82"/>
  <c r="C32" i="82"/>
  <c r="H118" i="82"/>
  <c r="H101" i="82"/>
  <c r="H105" i="82"/>
  <c r="H106"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S2" i="4"/>
  <c r="A118" i="82"/>
  <c r="H112" i="82"/>
  <c r="H110" i="82"/>
  <c r="H108" i="82"/>
  <c r="C105" i="82"/>
  <c r="H104" i="82"/>
  <c r="C104" i="82"/>
  <c r="D103"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M69" i="82"/>
  <c r="N69" i="82"/>
  <c r="L68" i="82"/>
  <c r="M68" i="82"/>
  <c r="D68" i="82"/>
  <c r="C64" i="82"/>
  <c r="C63" i="82"/>
  <c r="C67" i="82"/>
  <c r="C68" i="82"/>
  <c r="L67" i="82"/>
  <c r="M67" i="82"/>
  <c r="L66" i="82"/>
  <c r="M66" i="82"/>
  <c r="L65" i="82"/>
  <c r="M65" i="82"/>
  <c r="L64" i="82"/>
  <c r="M6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D34" i="82"/>
  <c r="F33" i="82"/>
  <c r="D27" i="82"/>
  <c r="C25" i="82"/>
  <c r="D22" i="82"/>
  <c r="L19" i="82"/>
  <c r="G21" i="82"/>
  <c r="D21" i="82"/>
  <c r="C21" i="82"/>
  <c r="L18" i="82"/>
  <c r="L4" i="82"/>
  <c r="K4" i="82"/>
  <c r="A2" i="82"/>
  <c r="H1" i="82"/>
  <c r="F52" i="81"/>
  <c r="F49" i="81"/>
  <c r="F70" i="67"/>
  <c r="F52" i="67"/>
  <c r="F49" i="67"/>
  <c r="F15" i="81"/>
  <c r="F18" i="81"/>
  <c r="F20" i="81"/>
  <c r="F21" i="81"/>
  <c r="F33" i="81"/>
  <c r="C83" i="81"/>
  <c r="C82" i="81"/>
  <c r="C76" i="81"/>
  <c r="C75" i="81"/>
  <c r="C80" i="81"/>
  <c r="C79" i="81"/>
  <c r="Q65" i="81"/>
  <c r="M47" i="81"/>
  <c r="J50" i="81"/>
  <c r="L60" i="81"/>
  <c r="Q66" i="81"/>
  <c r="Q75" i="81"/>
  <c r="D7"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70" i="81"/>
  <c r="F68" i="81"/>
  <c r="F69" i="81"/>
  <c r="C68" i="81"/>
  <c r="C71" i="81"/>
  <c r="Q70" i="81"/>
  <c r="Q69" i="81"/>
  <c r="Q68" i="81"/>
  <c r="L51" i="81"/>
  <c r="Q67" i="81"/>
  <c r="Q56" i="81"/>
  <c r="Q57" i="81"/>
  <c r="Q62" i="81"/>
  <c r="Q61" i="81"/>
  <c r="P61" i="81"/>
  <c r="Q60" i="81"/>
  <c r="Q59" i="81"/>
  <c r="N59" i="81"/>
  <c r="B24" i="1"/>
  <c r="M59" i="81"/>
  <c r="J59" i="81"/>
  <c r="F59" i="81"/>
  <c r="Q58" i="81"/>
  <c r="J57" i="81"/>
  <c r="J55" i="81"/>
  <c r="J58" i="81"/>
  <c r="L57" i="81"/>
  <c r="L56" i="81"/>
  <c r="I54" i="81"/>
  <c r="Q47" i="81"/>
  <c r="Q48" i="81"/>
  <c r="Q53" i="81"/>
  <c r="Q52" i="81"/>
  <c r="Q51" i="81"/>
  <c r="Q50" i="81"/>
  <c r="Q49" i="81"/>
  <c r="D46" i="81"/>
  <c r="C45"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25" i="31"/>
  <c r="B26" i="31"/>
  <c r="B27" i="31"/>
  <c r="B28" i="31"/>
  <c r="B29" i="31"/>
  <c r="B30" i="31"/>
  <c r="B31" i="31"/>
  <c r="B32" i="31"/>
  <c r="B33" i="31"/>
  <c r="B34" i="31"/>
  <c r="B24" i="31"/>
  <c r="E27" i="80"/>
  <c r="A25" i="31"/>
  <c r="A26" i="31"/>
  <c r="A27" i="31"/>
  <c r="A28" i="31"/>
  <c r="A29" i="31"/>
  <c r="A30" i="31"/>
  <c r="A31" i="31"/>
  <c r="A32" i="31"/>
  <c r="A33" i="31"/>
  <c r="A34" i="31"/>
  <c r="A24" i="31"/>
  <c r="D19"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8" i="1"/>
  <c r="A9" i="1"/>
  <c r="G1" i="78"/>
  <c r="K9" i="1"/>
  <c r="M9" i="1"/>
  <c r="S9" i="1"/>
  <c r="T9" i="1"/>
  <c r="M6" i="1"/>
  <c r="BB5" i="3"/>
  <c r="BB10" i="3"/>
  <c r="T6" i="1"/>
  <c r="M7" i="1"/>
  <c r="T7" i="1"/>
  <c r="K8" i="1"/>
  <c r="M8" i="1"/>
  <c r="S8" i="1"/>
  <c r="T8" i="1"/>
  <c r="C14" i="78"/>
  <c r="F15" i="78"/>
  <c r="C15" i="78"/>
  <c r="F16" i="78"/>
  <c r="C16" i="78"/>
  <c r="F17" i="78"/>
  <c r="F43" i="78"/>
  <c r="C17" i="78"/>
  <c r="F18" i="78"/>
  <c r="C18" i="78"/>
  <c r="C19" i="78"/>
  <c r="F20" i="78"/>
  <c r="C20" i="78"/>
  <c r="D3"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9" i="1"/>
  <c r="R8" i="1"/>
  <c r="F35" i="78"/>
  <c r="C34" i="78"/>
  <c r="C31" i="78"/>
  <c r="F36" i="78"/>
  <c r="C36" i="78"/>
  <c r="F37" i="78"/>
  <c r="C37" i="78"/>
  <c r="F38" i="78"/>
  <c r="C38" i="78"/>
  <c r="C30" i="78"/>
  <c r="C39" i="78"/>
  <c r="F42" i="78"/>
  <c r="F40" i="78"/>
  <c r="AE9" i="1"/>
  <c r="J50" i="67"/>
  <c r="AE8" i="1"/>
  <c r="F41" i="78"/>
  <c r="C40" i="78"/>
  <c r="C83" i="78"/>
  <c r="C82" i="78"/>
  <c r="C76" i="78"/>
  <c r="C75" i="78"/>
  <c r="C80" i="78"/>
  <c r="C79" i="78"/>
  <c r="M6" i="78"/>
  <c r="M8" i="78"/>
  <c r="M7" i="78"/>
  <c r="M9" i="78"/>
  <c r="J6" i="78"/>
  <c r="M11" i="78"/>
  <c r="J10" i="78"/>
  <c r="J5" i="78"/>
  <c r="J26" i="78"/>
  <c r="J29" i="78"/>
  <c r="Q65" i="78"/>
  <c r="M47" i="78"/>
  <c r="F9" i="1"/>
  <c r="F8" i="1"/>
  <c r="L48" i="78"/>
  <c r="J50" i="78"/>
  <c r="J51" i="78"/>
  <c r="L51" i="78"/>
  <c r="L57" i="78"/>
  <c r="D9" i="1"/>
  <c r="D6" i="1"/>
  <c r="D8"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AG6"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D6"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F20" i="67"/>
  <c r="M19" i="67"/>
  <c r="F18"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c r="F11" i="1"/>
  <c r="F12" i="1"/>
  <c r="F13"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R26" i="31"/>
  <c r="C27" i="31"/>
  <c r="E27" i="31"/>
  <c r="G27" i="31"/>
  <c r="I27" i="31"/>
  <c r="K27" i="31"/>
  <c r="M27" i="31"/>
  <c r="O27" i="31"/>
  <c r="R27" i="31"/>
  <c r="C28" i="31"/>
  <c r="E28" i="31"/>
  <c r="G28" i="31"/>
  <c r="I28" i="31"/>
  <c r="K28" i="31"/>
  <c r="M28" i="31"/>
  <c r="O28" i="31"/>
  <c r="R28" i="31"/>
  <c r="C29" i="31"/>
  <c r="E29" i="31"/>
  <c r="G29" i="31"/>
  <c r="I29" i="31"/>
  <c r="K29" i="31"/>
  <c r="M29" i="31"/>
  <c r="O29" i="31"/>
  <c r="R29" i="31"/>
  <c r="C30" i="31"/>
  <c r="E30" i="31"/>
  <c r="G30" i="31"/>
  <c r="I30" i="31"/>
  <c r="K30" i="31"/>
  <c r="M30" i="31"/>
  <c r="O30" i="31"/>
  <c r="R30" i="31"/>
  <c r="C31" i="31"/>
  <c r="E31" i="31"/>
  <c r="G31" i="31"/>
  <c r="I31" i="31"/>
  <c r="K31" i="31"/>
  <c r="M31" i="31"/>
  <c r="O31" i="31"/>
  <c r="R31" i="31"/>
  <c r="C32" i="31"/>
  <c r="E32" i="31"/>
  <c r="G32" i="31"/>
  <c r="I32" i="31"/>
  <c r="K32" i="31"/>
  <c r="M32" i="31"/>
  <c r="O32" i="31"/>
  <c r="R32" i="31"/>
  <c r="C33" i="31"/>
  <c r="E33" i="31"/>
  <c r="G33" i="31"/>
  <c r="I33" i="31"/>
  <c r="K33" i="31"/>
  <c r="M33" i="31"/>
  <c r="O33" i="31"/>
  <c r="R33" i="31"/>
  <c r="C34" i="31"/>
  <c r="E34" i="31"/>
  <c r="G34" i="31"/>
  <c r="I34" i="31"/>
  <c r="K34" i="31"/>
  <c r="M34" i="31"/>
  <c r="O34"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R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F90" i="34"/>
  <c r="G90" i="34"/>
  <c r="H90" i="34"/>
  <c r="I90" i="34"/>
  <c r="J90" i="34"/>
  <c r="K90" i="34"/>
  <c r="L90" i="34"/>
  <c r="M90" i="34"/>
  <c r="C15" i="34"/>
  <c r="D126" i="34"/>
  <c r="E126" i="34"/>
  <c r="F126" i="34"/>
  <c r="G126"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F88" i="34"/>
  <c r="G88" i="34"/>
  <c r="H88" i="34"/>
  <c r="I88" i="34"/>
  <c r="J88" i="34"/>
  <c r="K88" i="34"/>
  <c r="L88" i="34"/>
  <c r="M88" i="34"/>
  <c r="D86" i="34"/>
  <c r="E86" i="34"/>
  <c r="F86" i="34"/>
  <c r="G86" i="34"/>
  <c r="D82" i="34"/>
  <c r="E82" i="34"/>
  <c r="F82" i="34"/>
  <c r="G82" i="34"/>
  <c r="G80"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Q15" i="34"/>
  <c r="Z15" i="34"/>
  <c r="Q14" i="34"/>
  <c r="Z14" i="34"/>
  <c r="Q13" i="34"/>
  <c r="Z13" i="34"/>
  <c r="Q12" i="34"/>
  <c r="Z12" i="34"/>
  <c r="J12" i="34"/>
  <c r="W12" i="34"/>
  <c r="H12" i="34"/>
  <c r="F12" i="34"/>
  <c r="S12" i="34"/>
  <c r="Q11" i="34"/>
  <c r="Z11" i="34"/>
  <c r="Q10" i="34"/>
  <c r="Z10" i="34"/>
  <c r="Q9" i="34"/>
  <c r="Z9" i="34"/>
  <c r="J8" i="34"/>
  <c r="AC8" i="34"/>
  <c r="H8" i="34"/>
  <c r="U8" i="34"/>
  <c r="F8" i="34"/>
  <c r="D121" i="33"/>
  <c r="E121" i="33"/>
  <c r="F109" i="33"/>
  <c r="E109" i="33"/>
  <c r="D109" i="33"/>
  <c r="C109" i="33"/>
  <c r="D91" i="33"/>
  <c r="E91" i="33"/>
  <c r="B88" i="33"/>
  <c r="J26" i="33"/>
  <c r="C23" i="33"/>
  <c r="C19" i="33"/>
  <c r="C15" i="33"/>
  <c r="C15" i="21"/>
  <c r="D125"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S25" i="34"/>
  <c r="H23" i="34"/>
  <c r="U23" i="34"/>
  <c r="J23" i="34"/>
  <c r="U17"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W36" i="34"/>
  <c r="U37" i="34"/>
  <c r="AB23" i="34"/>
  <c r="F23" i="34"/>
  <c r="AA23"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S25" i="31"/>
  <c r="Q26" i="31"/>
  <c r="Q27" i="31"/>
  <c r="Q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S39" i="34"/>
  <c r="W39" i="34"/>
  <c r="F40" i="34"/>
  <c r="S40" i="34"/>
  <c r="H44" i="34"/>
  <c r="AB44" i="34"/>
  <c r="AC38" i="39"/>
  <c r="F39" i="39"/>
  <c r="S39" i="39"/>
  <c r="J39" i="39"/>
  <c r="AC39" i="39"/>
  <c r="E97" i="39"/>
  <c r="F97" i="39"/>
  <c r="G97" i="39"/>
  <c r="C40" i="11"/>
  <c r="H75" i="43"/>
  <c r="H74" i="43"/>
  <c r="H50" i="43"/>
  <c r="H49" i="43"/>
  <c r="H48"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W34" i="34"/>
  <c r="U28" i="34"/>
  <c r="S17" i="34"/>
  <c r="AA29" i="34"/>
  <c r="U27" i="34"/>
  <c r="S23" i="34"/>
  <c r="U15" i="34"/>
  <c r="S10" i="34"/>
  <c r="S13"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G19" i="43"/>
  <c r="P23" i="43"/>
  <c r="B71" i="3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A31" i="34"/>
  <c r="AA30" i="34"/>
  <c r="U25" i="34"/>
  <c r="W33" i="34"/>
  <c r="AC14" i="34"/>
  <c r="AC32" i="34"/>
  <c r="AC29" i="34"/>
  <c r="W29" i="34"/>
  <c r="W46" i="34"/>
  <c r="S32" i="34"/>
  <c r="AA32" i="34"/>
  <c r="U30" i="34"/>
  <c r="AB30" i="34"/>
  <c r="S37" i="34"/>
  <c r="U38" i="34"/>
  <c r="AC40" i="34"/>
  <c r="W40" i="34"/>
  <c r="S19" i="34"/>
  <c r="S36" i="34"/>
  <c r="AA8" i="34"/>
  <c r="S8" i="34"/>
  <c r="U9" i="34"/>
  <c r="S46" i="34"/>
  <c r="U32" i="34"/>
  <c r="AB32" i="34"/>
  <c r="U14" i="34"/>
  <c r="AB14" i="34"/>
  <c r="W43" i="34"/>
  <c r="AA11" i="34"/>
  <c r="W23" i="34"/>
  <c r="AC23"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M28" i="15"/>
  <c r="M9" i="15"/>
  <c r="M24" i="67"/>
  <c r="L48" i="15"/>
  <c r="J15" i="67"/>
  <c r="F37" i="15"/>
  <c r="C76" i="67"/>
  <c r="M28" i="67"/>
  <c r="M8" i="15"/>
  <c r="F7" i="15"/>
  <c r="L47" i="67"/>
  <c r="F13" i="15"/>
  <c r="M23" i="67"/>
  <c r="F9" i="15"/>
  <c r="F42" i="15"/>
  <c r="J15" i="15"/>
  <c r="M6" i="15"/>
  <c r="L47" i="15"/>
  <c r="M22" i="15"/>
  <c r="F8" i="15"/>
  <c r="M26" i="67"/>
  <c r="F43" i="15"/>
  <c r="M29" i="67"/>
  <c r="M23" i="15"/>
  <c r="F38" i="15"/>
  <c r="F26" i="15"/>
  <c r="F40" i="15"/>
  <c r="F6" i="15"/>
  <c r="M29" i="15"/>
  <c r="F16" i="15"/>
  <c r="M26" i="15"/>
  <c r="C76" i="15"/>
  <c r="M22" i="67"/>
  <c r="L58" i="67"/>
  <c r="L58" i="15"/>
  <c r="Q73" i="15"/>
  <c r="N59" i="67"/>
  <c r="L59" i="67"/>
  <c r="M59" i="67"/>
  <c r="M59" i="15"/>
  <c r="I54" i="67"/>
  <c r="N59" i="15"/>
  <c r="I54" i="15"/>
  <c r="J53" i="15"/>
  <c r="L56" i="15"/>
  <c r="AQ13" i="1"/>
  <c r="O6" i="1"/>
  <c r="P6" i="1"/>
  <c r="F30" i="68"/>
  <c r="C30" i="68"/>
  <c r="F30" i="11"/>
  <c r="C48" i="11"/>
  <c r="F31" i="12"/>
  <c r="F52" i="9"/>
  <c r="C31" i="12"/>
  <c r="M18"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S36" i="33"/>
  <c r="AC32" i="33"/>
  <c r="W32" i="33"/>
  <c r="U27" i="33"/>
  <c r="AB27" i="33"/>
  <c r="G91" i="33"/>
  <c r="H91" i="33"/>
  <c r="I91" i="33"/>
  <c r="J91" i="33"/>
  <c r="K91" i="33"/>
  <c r="L91" i="33"/>
  <c r="M91" i="33"/>
  <c r="J27" i="33"/>
  <c r="U25" i="33"/>
  <c r="S25" i="33"/>
  <c r="H87" i="33"/>
  <c r="I87" i="33"/>
  <c r="J87" i="33"/>
  <c r="K87" i="33"/>
  <c r="L87" i="33"/>
  <c r="M87"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C10" i="15"/>
  <c r="S21" i="6"/>
  <c r="L27" i="6"/>
  <c r="S26" i="6"/>
  <c r="S22" i="6"/>
  <c r="G16" i="1"/>
  <c r="H10" i="40"/>
  <c r="U10" i="40"/>
  <c r="L56" i="67"/>
  <c r="J57" i="67"/>
  <c r="J55" i="67"/>
  <c r="J58" i="67"/>
  <c r="Q50" i="67"/>
  <c r="F51" i="67"/>
  <c r="F68" i="67"/>
  <c r="F71" i="67"/>
  <c r="F66" i="67"/>
  <c r="F50" i="67"/>
  <c r="Q71" i="67"/>
  <c r="F64" i="67"/>
  <c r="F65" i="67"/>
  <c r="F71" i="15"/>
  <c r="C27" i="15"/>
  <c r="Q71" i="15"/>
  <c r="F64" i="15"/>
  <c r="F51" i="15"/>
  <c r="F65" i="15"/>
  <c r="J57" i="15"/>
  <c r="J55" i="15"/>
  <c r="J58" i="15"/>
  <c r="Q50" i="15"/>
  <c r="F68" i="15"/>
  <c r="M7" i="15"/>
  <c r="F50" i="15"/>
  <c r="F66" i="15"/>
  <c r="C6" i="15"/>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7" i="15"/>
  <c r="F31" i="67"/>
  <c r="AR7" i="1"/>
  <c r="L59" i="15"/>
  <c r="Q74" i="15"/>
  <c r="C30" i="11"/>
  <c r="E6" i="70"/>
  <c r="K27" i="6"/>
  <c r="A18" i="62"/>
  <c r="B64" i="72"/>
  <c r="B1" i="7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36" i="33"/>
  <c r="U36" i="33"/>
  <c r="W27" i="33"/>
  <c r="AC27" i="33"/>
  <c r="W25" i="33"/>
  <c r="AA23" i="33"/>
  <c r="S23" i="33"/>
  <c r="AB19" i="33"/>
  <c r="U19" i="33"/>
  <c r="AA17" i="33"/>
  <c r="S17" i="33"/>
  <c r="U17" i="33"/>
  <c r="AB17" i="33"/>
  <c r="U23" i="21"/>
  <c r="AB23" i="21"/>
  <c r="AC23" i="21"/>
  <c r="W23" i="21"/>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8"/>
  <c r="C53" i="15"/>
  <c r="C53" i="67"/>
  <c r="F10" i="40"/>
  <c r="AA10" i="40"/>
  <c r="S20"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B2" i="74"/>
  <c r="AB7" i="36"/>
  <c r="T36" i="36"/>
  <c r="C23" i="68"/>
  <c r="C38" i="15"/>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15"/>
  <c r="M21" i="15"/>
  <c r="M21" i="67"/>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14" i="15"/>
  <c r="L51" i="67"/>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6" i="1"/>
  <c r="AO7" i="1"/>
  <c r="AO8" i="1"/>
  <c r="E2" i="69"/>
  <c r="B8" i="70"/>
  <c r="B7" i="70"/>
  <c r="B6" i="70"/>
  <c r="C46" i="15"/>
  <c r="B2" i="69"/>
  <c r="B3" i="69"/>
  <c r="B2" i="68"/>
  <c r="E2" i="68"/>
  <c r="D2" i="33"/>
  <c r="B2" i="33"/>
  <c r="C19" i="9"/>
  <c r="D2" i="36"/>
  <c r="D2" i="21"/>
  <c r="D2" i="34"/>
  <c r="D2" i="37"/>
  <c r="D2" i="35"/>
  <c r="F20" i="31"/>
  <c r="B20" i="31"/>
  <c r="B2" i="36"/>
  <c r="B3" i="36"/>
  <c r="B2" i="35"/>
  <c r="B3" i="35"/>
  <c r="B2" i="37"/>
  <c r="B3" i="37"/>
  <c r="B2" i="21"/>
  <c r="B3" i="21"/>
  <c r="B2" i="70"/>
  <c r="B3" i="70"/>
  <c r="C102" i="9"/>
  <c r="C21" i="9"/>
  <c r="B3" i="68"/>
  <c r="D19" i="9"/>
  <c r="G19"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<sst xmlns="http://schemas.openxmlformats.org/spreadsheetml/2006/main" count="9605" uniqueCount="3324">
  <si>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</si>
  <si>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</si>
  <si>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</si>
  <si>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</si>
  <si>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</si>
  <si>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</si>
  <si>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</si>
  <si>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</si>
  <si>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</si>
  <si>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</si>
  <si>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</si>
  <si>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</si>
  <si>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</si>
  <si>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</si>
  <si>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</si>
  <si>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</si>
  <si>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</si>
  <si>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</si>
  <si>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</si>
  <si>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</si>
  <si>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</si>
  <si>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</si>
  <si>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</si>
  <si>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</si>
  <si>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</si>
  <si>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</si>
  <si>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</si>
  <si>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</si>
  <si>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</si>
  <si>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</si>
  <si>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</si>
  <si>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</si>
  <si>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</si>
  <si>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</si>
  <si>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</si>
  <si>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</si>
  <si>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</si>
  <si>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</si>
  <si>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</si>
  <si>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</si>
  <si>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</si>
  <si>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</si>
  <si>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</si>
  <si>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</si>
  <si>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</si>
  <si>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</si>
  <si>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</si>
  <si>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</si>
  <si>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</si>
  <si>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</si>
  <si>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</si>
  <si>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</si>
  <si>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</si>
  <si>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</si>
  <si>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</si>
  <si>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</si>
  <si>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</si>
  <si>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</si>
  <si>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</si>
  <si>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</si>
  <si>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</si>
  <si>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</si>
  <si>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</si>
  <si>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</si>
  <si>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</si>
  <si>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</si>
  <si>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</si>
  <si>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</si>
  <si>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</si>
  <si>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</si>
  <si>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</si>
  <si>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</si>
  <si>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</si>
  <si>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</si>
  <si>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</si>
  <si>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</si>
  <si>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</si>
  <si>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</si>
  <si>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</si>
  <si>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</si>
  <si>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</si>
  <si>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</si>
  <si>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</si>
  <si>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</si>
  <si>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</si>
  <si>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</si>
  <si>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</si>
  <si>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</si>
  <si>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</si>
  <si>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</si>
  <si>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</si>
  <si>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</si>
  <si>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</si>
  <si>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</si>
  <si>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</si>
  <si>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</si>
  <si>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</si>
  <si>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</si>
  <si>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</si>
  <si>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</si>
  <si>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</si>
  <si>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</si>
  <si>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</si>
  <si>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</si>
  <si>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</si>
  <si>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</si>
  <si>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</si>
  <si>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</si>
  <si>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</si>
  <si>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</si>
  <si>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</si>
  <si>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</si>
  <si>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</si>
  <si>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</si>
  <si>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</si>
  <si>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</si>
  <si>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</si>
  <si>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</si>
  <si>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</si>
  <si>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</si>
  <si>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</si>
  <si>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</si>
  <si>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</si>
  <si>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</si>
  <si>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</si>
  <si>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</si>
  <si>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</si>
  <si>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</si>
  <si>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</si>
  <si>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</si>
  <si>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</si>
  <si>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</si>
  <si>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</si>
  <si>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</si>
  <si>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</si>
  <si>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</si>
  <si>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</si>
  <si>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</si>
  <si>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</si>
  <si>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</si>
  <si>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</si>
  <si>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</si>
  <si>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</si>
  <si>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</si>
  <si>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</si>
  <si>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</si>
  <si>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</si>
  <si>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</si>
  <si>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</si>
  <si>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</si>
  <si>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</si>
  <si>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</si>
  <si>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</si>
  <si>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</si>
  <si>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</si>
  <si>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</si>
  <si>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</si>
  <si>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</si>
  <si>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</si>
  <si>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</si>
  <si>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</si>
  <si>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</si>
  <si>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</si>
  <si>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</si>
  <si>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</si>
  <si>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</si>
  <si>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</si>
  <si>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</si>
  <si>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</si>
  <si>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</si>
  <si>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</si>
  <si>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</si>
  <si>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</si>
  <si>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</si>
  <si>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</si>
  <si>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</si>
  <si>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</si>
  <si>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</si>
  <si>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</si>
  <si>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</si>
  <si>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</si>
  <si>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</si>
  <si>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</si>
  <si>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</si>
  <si>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</si>
  <si>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</si>
  <si>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</si>
  <si>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</si>
  <si>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</si>
  <si>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</si>
  <si>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</si>
  <si>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</si>
  <si>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</si>
  <si>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</si>
  <si>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</si>
  <si>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</si>
  <si>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</si>
  <si>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</si>
  <si>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</si>
  <si>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</si>
  <si>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</si>
  <si>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</si>
  <si>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</si>
  <si>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</si>
  <si>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</si>
  <si>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</si>
  <si>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</si>
  <si>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</si>
  <si>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</si>
  <si>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</si>
  <si>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</si>
  <si>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</si>
  <si>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</si>
  <si>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</si>
  <si>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</si>
  <si>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</si>
  <si>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</si>
  <si>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</si>
  <si>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</si>
  <si>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</si>
  <si>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</si>
  <si>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</si>
  <si>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</si>
  <si>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</si>
  <si>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</si>
  <si>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</si>
  <si>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</si>
  <si>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</si>
  <si>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</si>
  <si>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</si>
  <si>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</si>
  <si>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</si>
  <si>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</si>
  <si>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</si>
  <si>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</si>
  <si>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</si>
  <si>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</si>
  <si>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</si>
  <si>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</si>
  <si>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</si>
  <si>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</si>
  <si>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</si>
  <si>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</si>
  <si>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</si>
  <si>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</si>
  <si>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</si>
  <si>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</si>
  <si>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</si>
  <si>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</si>
  <si>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</si>
  <si>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</si>
  <si>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</si>
  <si>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</si>
  <si>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</si>
  <si>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</si>
  <si>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</si>
  <si>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</si>
  <si>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</si>
  <si>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</si>
  <si>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</si>
  <si>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</si>
  <si>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</si>
  <si>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</si>
  <si>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</si>
  <si>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</si>
  <si>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</si>
  <si>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</si>
  <si>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</si>
  <si>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</si>
  <si>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</si>
  <si>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</si>
  <si>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</si>
  <si>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</si>
  <si>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</si>
  <si>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</si>
  <si>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</si>
  <si>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</si>
  <si>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</si>
  <si>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</si>
  <si>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</si>
  <si>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</si>
  <si>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</si>
  <si>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</si>
  <si>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</si>
  <si>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</si>
  <si>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</si>
  <si>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</si>
  <si>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</si>
  <si>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</si>
  <si>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</si>
  <si>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</si>
  <si>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</si>
  <si>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</si>
  <si>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</si>
  <si>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</si>
  <si>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</si>
  <si>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</si>
  <si>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</si>
  <si>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</si>
  <si>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</si>
  <si>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</si>
  <si>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</si>
  <si>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</si>
  <si>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</si>
  <si>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</si>
  <si>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</si>
  <si>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</si>
  <si>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</si>
  <si>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</si>
  <si>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</si>
  <si>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</si>
  <si>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</si>
  <si>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</si>
  <si>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</si>
  <si>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</si>
  <si>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</si>
  <si>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</si>
  <si>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</si>
  <si>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</si>
  <si>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</si>
  <si>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</si>
  <si>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</si>
  <si>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</si>
  <si>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</si>
  <si>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</si>
  <si>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</si>
  <si>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</si>
  <si>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</si>
  <si>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</si>
  <si>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</si>
  <si>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</si>
  <si>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</si>
  <si>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</si>
  <si>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</si>
  <si>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</si>
  <si>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</si>
  <si>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</si>
  <si>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</si>
  <si>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</si>
  <si>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</si>
  <si>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</si>
  <si>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</si>
  <si>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</si>
  <si>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</si>
  <si>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</si>
  <si>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</si>
  <si>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</si>
  <si>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</si>
  <si>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</si>
  <si>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</si>
  <si>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</si>
  <si>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</si>
  <si>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</si>
  <si>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</si>
  <si>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</si>
  <si>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</si>
  <si>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</si>
  <si>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</si>
  <si>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</si>
  <si>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</si>
  <si>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</si>
  <si>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</si>
  <si>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</si>
  <si>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</si>
  <si>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</si>
  <si>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</si>
  <si>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</si>
  <si>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</si>
  <si>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</si>
  <si>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</si>
  <si>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</si>
  <si>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</si>
  <si>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</si>
  <si>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</si>
  <si>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</si>
  <si>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</si>
  <si>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</si>
  <si>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</si>
  <si>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</si>
  <si>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</si>
  <si>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</si>
  <si>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</si>
  <si>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</si>
  <si>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</si>
  <si>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</si>
  <si>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</si>
  <si>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</si>
  <si>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</si>
  <si>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</si>
  <si>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</si>
  <si>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</si>
  <si>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</si>
  <si>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</si>
  <si>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</si>
  <si>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</si>
  <si>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</si>
  <si>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</si>
  <si>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</si>
  <si>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</si>
  <si>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</si>
  <si>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</si>
  <si>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</si>
  <si>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</si>
  <si>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</si>
  <si>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</si>
  <si>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</si>
  <si>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</si>
  <si>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</si>
  <si>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</si>
  <si>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</si>
  <si>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</si>
  <si>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</si>
  <si>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</si>
  <si>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</si>
  <si>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</si>
  <si>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</si>
  <si>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</si>
  <si>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</si>
  <si>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</si>
  <si>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</si>
  <si>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</si>
  <si>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</si>
  <si>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</si>
  <si>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</si>
  <si>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</si>
  <si>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</si>
  <si>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</si>
  <si>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</si>
  <si>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</si>
  <si>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</si>
  <si>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</si>
  <si>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</si>
  <si>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</si>
  <si>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</si>
  <si>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</si>
  <si>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</si>
  <si>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</si>
  <si>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</si>
  <si>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</si>
  <si>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</si>
  <si>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</si>
  <si>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</si>
  <si>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</si>
  <si>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</si>
  <si>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</si>
  <si>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</si>
  <si>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</si>
  <si>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</si>
  <si>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</si>
  <si>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</si>
  <si>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</si>
  <si>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</si>
  <si>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</si>
  <si>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</si>
  <si>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</si>
  <si>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</si>
  <si>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</si>
  <si>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</si>
  <si>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</si>
  <si>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</si>
  <si>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</si>
  <si>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</si>
  <si>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</si>
  <si>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</si>
  <si>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</si>
  <si>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</si>
  <si>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</si>
  <si>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</si>
  <si>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</si>
  <si>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</si>
  <si>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</si>
  <si>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</si>
  <si>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</si>
  <si>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</si>
  <si>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</si>
  <si>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</si>
  <si>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</si>
  <si>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</si>
  <si>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</si>
  <si>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</si>
  <si>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</si>
  <si>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</si>
  <si>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</si>
  <si>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</si>
  <si>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</si>
  <si>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</si>
  <si>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</si>
  <si>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</si>
  <si>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</si>
  <si>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</si>
  <si>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</si>
  <si>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</si>
  <si>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</si>
  <si>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</si>
  <si>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</si>
  <si>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</si>
  <si>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</si>
  <si>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</si>
  <si>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</si>
  <si>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</si>
  <si>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</si>
  <si>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</si>
  <si>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</si>
  <si>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</si>
  <si>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</si>
  <si>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</si>
  <si>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</si>
  <si>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</si>
  <si>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</si>
  <si>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</si>
  <si>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</si>
  <si>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</si>
  <si>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</si>
  <si>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</si>
  <si>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</si>
  <si>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</si>
  <si>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</si>
  <si>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</si>
  <si>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</si>
  <si>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</si>
  <si>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</si>
  <si>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</si>
  <si>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</si>
  <si>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</si>
  <si>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</si>
  <si>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</si>
  <si>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</si>
  <si>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</si>
  <si>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</si>
  <si>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</si>
  <si>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</si>
  <si>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</si>
  <si>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</si>
  <si>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</si>
  <si>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</si>
  <si>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</si>
  <si>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</si>
  <si>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</si>
  <si>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</si>
  <si>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</si>
  <si>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</si>
  <si>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</si>
  <si>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</si>
  <si>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</si>
  <si>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</si>
  <si>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</si>
  <si>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</si>
  <si>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</si>
  <si>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</si>
  <si>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</si>
  <si>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</si>
  <si>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</si>
  <si>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</si>
  <si>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</si>
  <si>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</si>
  <si>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</si>
  <si>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</si>
  <si>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</si>
  <si>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</si>
  <si>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</si>
  <si>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</si>
  <si>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</si>
  <si>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</si>
  <si>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</si>
  <si>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</si>
  <si>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</si>
  <si>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</si>
  <si>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</si>
  <si>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</si>
  <si>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</si>
  <si>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</si>
  <si>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</si>
  <si>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</si>
  <si>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</si>
  <si>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</si>
  <si>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</si>
  <si>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</si>
  <si>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</si>
  <si>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</si>
  <si>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</si>
  <si>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</si>
  <si>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</si>
  <si>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</si>
  <si>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</si>
  <si>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</si>
  <si>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</si>
  <si>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</si>
  <si>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</si>
  <si>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</si>
  <si>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</si>
  <si>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</si>
  <si>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</si>
  <si>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</si>
  <si>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</si>
  <si>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</si>
  <si>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</si>
  <si>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</si>
  <si>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</si>
  <si>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</si>
  <si>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</si>
  <si>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</si>
  <si>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</si>
  <si>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</si>
  <si>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</si>
  <si>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</si>
  <si>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</si>
  <si>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</si>
  <si>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</si>
  <si>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</si>
  <si>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</si>
  <si>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</si>
  <si>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</si>
  <si>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</si>
  <si>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</si>
  <si>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</si>
  <si>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</si>
  <si>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</si>
  <si>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</si>
  <si>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</si>
  <si>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</si>
  <si>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</si>
  <si>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</si>
  <si>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</si>
  <si>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</si>
  <si>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</si>
  <si>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</si>
  <si>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</si>
  <si>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</si>
  <si>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</si>
  <si>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</si>
  <si>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</si>
  <si>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</si>
  <si>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</si>
  <si>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</si>
  <si>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</si>
  <si>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</si>
  <si>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</si>
  <si>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</si>
  <si>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</si>
  <si>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</si>
  <si>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</si>
  <si>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</si>
  <si>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</si>
  <si>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</si>
  <si>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</si>
  <si>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</si>
  <si>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</si>
  <si>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</si>
  <si>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</si>
  <si>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</si>
  <si>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</si>
  <si>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</si>
  <si>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</si>
  <si>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</si>
  <si>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</si>
  <si>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</si>
  <si>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</si>
  <si>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</si>
  <si>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</si>
  <si>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</si>
  <si>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</si>
  <si>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</si>
  <si>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</si>
  <si>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</si>
  <si>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</si>
  <si>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</si>
  <si>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</si>
  <si>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</si>
  <si>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</si>
  <si>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</si>
  <si>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</si>
  <si>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</si>
  <si>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</si>
  <si>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</si>
  <si>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</si>
  <si>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</si>
  <si>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</si>
  <si>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</si>
  <si>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</si>
  <si>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</si>
  <si>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</si>
  <si>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</si>
  <si>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</si>
  <si>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</si>
  <si>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</si>
  <si>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</si>
  <si>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</si>
  <si>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</si>
  <si>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</si>
  <si>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</si>
  <si>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</si>
  <si>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</si>
  <si>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</si>
  <si>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</si>
  <si>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</si>
  <si>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</si>
  <si>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</si>
  <si>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</si>
  <si>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</si>
  <si>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</si>
  <si>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</si>
  <si>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</si>
  <si>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</si>
  <si>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</si>
  <si>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</si>
  <si>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</si>
  <si>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</si>
  <si>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</si>
  <si>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</si>
  <si>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</si>
  <si>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</si>
  <si>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</si>
  <si>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</si>
  <si>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</si>
  <si>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</si>
  <si>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</si>
  <si>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</si>
  <si>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</si>
  <si>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</si>
  <si>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</si>
  <si>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</si>
  <si>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</si>
  <si>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</si>
  <si>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</si>
  <si>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</si>
  <si>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</si>
  <si>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</si>
  <si>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</si>
  <si>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</si>
  <si>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</si>
  <si>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</si>
  <si>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</si>
  <si>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</si>
  <si>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</si>
  <si>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</si>
  <si>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</si>
  <si>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</si>
  <si>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</si>
  <si>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</si>
  <si>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</si>
  <si>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</si>
  <si>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</si>
  <si>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</si>
  <si>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</si>
  <si>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</si>
  <si>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</si>
  <si>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</si>
  <si>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</si>
  <si>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</si>
  <si>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</si>
  <si>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</si>
  <si>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</si>
  <si>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</si>
  <si>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</si>
  <si>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</si>
  <si>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</si>
  <si>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</si>
  <si>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</si>
  <si>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</si>
  <si>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</si>
  <si>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</si>
  <si>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</si>
  <si>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</si>
  <si>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</si>
  <si>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</si>
  <si>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</si>
  <si>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</si>
  <si>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</si>
  <si>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</si>
  <si>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</si>
  <si>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</si>
  <si>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</si>
  <si>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</si>
  <si>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</si>
  <si>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</si>
  <si>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</si>
  <si>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</si>
  <si>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</si>
  <si>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</si>
  <si>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</si>
  <si>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</si>
  <si>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</si>
  <si>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</si>
  <si>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</si>
  <si>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</si>
  <si>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</si>
  <si>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</si>
  <si>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</si>
  <si>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</si>
  <si>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</si>
  <si>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</si>
  <si>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</si>
  <si>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</si>
  <si>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</si>
  <si>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</si>
  <si>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</si>
  <si>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</si>
  <si>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</si>
  <si>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</si>
  <si>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</si>
  <si>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</si>
  <si>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</si>
  <si>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</si>
  <si>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</si>
  <si>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</si>
  <si>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</si>
  <si>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</si>
  <si>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</si>
  <si>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</si>
  <si>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</si>
  <si>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</si>
  <si>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</si>
  <si>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</si>
  <si>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</si>
  <si>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</si>
  <si>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</si>
  <si>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</si>
  <si>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</si>
  <si>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</si>
  <si>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</si>
  <si>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</si>
  <si>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</si>
  <si>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</si>
  <si>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</si>
  <si>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</si>
  <si>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</si>
  <si>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</si>
  <si>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</si>
  <si>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</si>
  <si>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</si>
  <si>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</si>
  <si>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</si>
  <si>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</si>
  <si>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</si>
  <si>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</si>
  <si>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</si>
  <si>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</si>
  <si>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</si>
  <si>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</si>
  <si>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</si>
  <si>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</si>
  <si>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</si>
  <si>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</si>
  <si>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</si>
  <si>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</si>
  <si>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</si>
  <si>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</si>
  <si>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</si>
  <si>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</si>
  <si>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</si>
  <si>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</si>
  <si>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</si>
  <si>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</si>
  <si>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</si>
  <si>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</si>
  <si>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</si>
  <si>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</si>
  <si>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</si>
  <si>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</si>
  <si>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</si>
  <si>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</si>
  <si>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</si>
  <si>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</si>
  <si>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</si>
  <si>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</si>
  <si>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</si>
  <si>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</si>
  <si>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</si>
  <si>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</si>
  <si>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</si>
  <si>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</si>
  <si>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</si>
  <si>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</si>
  <si>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</si>
  <si>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</si>
  <si>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</si>
  <si>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</si>
  <si>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</si>
  <si>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</si>
  <si>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</si>
  <si>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</si>
  <si>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</si>
  <si>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</si>
  <si>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</si>
  <si>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</si>
  <si>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</si>
  <si>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</si>
  <si>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</si>
  <si>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</si>
  <si>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</si>
  <si>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</si>
  <si>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</si>
  <si>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</si>
  <si>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</si>
  <si>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</si>
  <si>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</si>
  <si>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</si>
  <si>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</si>
  <si>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</si>
  <si>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</si>
  <si>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</si>
  <si>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</si>
  <si>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</si>
  <si>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</si>
  <si>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</si>
  <si>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</si>
  <si>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</si>
  <si>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</si>
  <si>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</si>
  <si>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</si>
  <si>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</si>
  <si>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</si>
  <si>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</si>
  <si>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</si>
  <si>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</si>
  <si>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</si>
  <si>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</si>
  <si>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</si>
  <si>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</si>
  <si>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</si>
  <si>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</si>
  <si>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</si>
  <si>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</si>
  <si>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</si>
  <si>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</si>
  <si>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</si>
  <si>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</si>
  <si>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</si>
  <si>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</si>
  <si>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</si>
  <si>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</si>
  <si>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</si>
  <si>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</si>
  <si>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</si>
  <si>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</si>
  <si>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</si>
  <si>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</si>
  <si>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</si>
  <si>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</si>
  <si>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</si>
  <si>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</si>
  <si>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</si>
  <si>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</si>
  <si>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</si>
  <si>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</si>
  <si>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</si>
  <si>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</si>
  <si>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</si>
  <si>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</si>
  <si>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</si>
  <si>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</si>
  <si>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</si>
  <si>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</si>
  <si>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</si>
  <si>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</si>
  <si>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</si>
  <si>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</si>
  <si>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</si>
  <si>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</si>
  <si>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</si>
  <si>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</si>
  <si>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</si>
  <si>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</si>
  <si>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</si>
  <si>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</si>
  <si>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</si>
  <si>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</si>
  <si>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</si>
  <si>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</si>
  <si>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</si>
  <si>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</si>
  <si>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</si>
  <si>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</si>
  <si>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</si>
  <si>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</si>
  <si>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</si>
  <si>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</si>
  <si>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</si>
  <si>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</si>
  <si>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</si>
  <si>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</si>
  <si>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</si>
  <si>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</si>
  <si>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</si>
  <si>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</si>
  <si>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</si>
  <si>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</si>
  <si>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</si>
  <si>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</si>
  <si>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</si>
  <si>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</si>
  <si>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</si>
  <si>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</si>
  <si>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</si>
  <si>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</si>
  <si>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</si>
  <si>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</si>
  <si>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</si>
  <si>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</si>
  <si>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</si>
  <si>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</si>
  <si>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</si>
  <si>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</si>
  <si>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</si>
  <si>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</si>
  <si>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</si>
  <si>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</si>
  <si>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</si>
  <si>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</si>
  <si>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</si>
  <si>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</si>
  <si>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</si>
  <si>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</si>
  <si>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</si>
  <si>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</si>
  <si>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</si>
  <si>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</si>
  <si>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</si>
  <si>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</si>
  <si>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</si>
  <si>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</si>
  <si>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</si>
  <si>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</si>
  <si>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</si>
  <si>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</si>
  <si>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</si>
  <si>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</si>
  <si>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</si>
  <si>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</si>
  <si>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</si>
  <si>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</si>
  <si>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</si>
  <si>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</si>
  <si>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</si>
  <si>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</si>
  <si>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</si>
  <si>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</si>
  <si>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</si>
  <si>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</si>
  <si>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</si>
  <si>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</si>
  <si>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</si>
  <si>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</si>
  <si>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</si>
  <si>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</si>
  <si>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</si>
  <si>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</si>
  <si>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</si>
  <si>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</si>
  <si>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</si>
  <si>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</si>
  <si>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</si>
  <si>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</si>
  <si>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</si>
  <si>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</si>
  <si>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</si>
  <si>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</si>
  <si>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</si>
  <si>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</si>
  <si>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</si>
  <si>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</si>
  <si>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</si>
  <si>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</si>
  <si>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</si>
  <si>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</si>
  <si>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</si>
  <si>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</si>
  <si>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</si>
  <si>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</si>
  <si>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</si>
  <si>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</si>
  <si>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</si>
  <si>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</si>
  <si>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</si>
  <si>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</si>
  <si>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</si>
  <si>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</si>
  <si>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</si>
  <si>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</si>
  <si>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</si>
  <si>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</si>
  <si>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</si>
  <si>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</si>
  <si>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</si>
  <si>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</si>
  <si>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</si>
  <si>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</si>
  <si>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</si>
  <si>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</si>
  <si>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</si>
  <si>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</si>
  <si>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</si>
  <si>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</si>
  <si>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</si>
  <si>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</si>
  <si>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</si>
  <si>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</si>
  <si>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</si>
  <si>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</si>
  <si>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</si>
  <si>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</si>
  <si>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</si>
  <si>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</si>
  <si>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</si>
  <si>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</si>
  <si>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</si>
  <si>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</si>
  <si>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</si>
  <si>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</si>
  <si>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</si>
  <si>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</si>
  <si>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</si>
  <si>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</si>
  <si>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</si>
  <si>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</si>
  <si>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</si>
  <si>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</si>
  <si>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</si>
  <si>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</si>
  <si>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</si>
  <si>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</si>
  <si>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</si>
  <si>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</si>
  <si>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</si>
  <si>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</si>
  <si>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</si>
  <si>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</si>
  <si>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</si>
  <si>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</si>
  <si>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</si>
  <si>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</si>
  <si>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</si>
  <si>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</si>
  <si>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</si>
  <si>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</si>
  <si>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</si>
  <si>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</si>
  <si>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</si>
  <si>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</si>
  <si>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</si>
  <si>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</si>
  <si>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</si>
  <si>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</si>
  <si>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</si>
  <si>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</si>
  <si>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</si>
  <si>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</si>
  <si>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</si>
  <si>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</si>
  <si>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</si>
  <si>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</si>
  <si>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</si>
  <si>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</si>
  <si>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</si>
  <si>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</si>
  <si>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</si>
  <si>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</si>
  <si>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</si>
  <si>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</si>
  <si>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</si>
  <si>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</si>
  <si>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</si>
  <si>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</si>
  <si>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</si>
  <si>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</si>
  <si>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</si>
  <si>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</si>
  <si>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</si>
  <si>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</si>
  <si>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</si>
  <si>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</si>
  <si>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</si>
  <si>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</si>
  <si>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</si>
  <si>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</si>
  <si>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</si>
  <si>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</si>
  <si>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</si>
  <si>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</si>
  <si>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</si>
  <si>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</si>
  <si>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</si>
  <si>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</si>
  <si>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</si>
  <si>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</si>
  <si>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</si>
  <si>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</si>
  <si>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</si>
  <si>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</si>
  <si>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</si>
  <si>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</si>
  <si>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</si>
  <si>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</si>
  <si>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</si>
  <si>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</si>
  <si>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</si>
  <si>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</si>
  <si>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</si>
  <si>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</si>
  <si>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</si>
  <si>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</si>
  <si>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</si>
  <si>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</si>
  <si>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</si>
  <si>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</si>
  <si>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</si>
  <si>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</si>
  <si>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</si>
  <si>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</si>
  <si>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</si>
  <si>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</si>
  <si>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</si>
  <si>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</si>
  <si>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</si>
  <si>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</si>
  <si>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</si>
  <si>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</si>
  <si>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</si>
  <si>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</si>
  <si>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</si>
  <si>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</si>
  <si>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</si>
  <si>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</si>
  <si>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</si>
  <si>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</si>
  <si>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</si>
  <si>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</si>
  <si>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</si>
  <si>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</si>
  <si>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</si>
  <si>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</si>
  <si>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</si>
  <si>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</si>
  <si>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</si>
  <si>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</si>
  <si>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</si>
  <si>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</si>
  <si>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</si>
  <si>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</si>
  <si>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</si>
  <si>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</si>
  <si>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</si>
  <si>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</si>
  <si>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</si>
  <si>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</si>
  <si>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</si>
  <si>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</si>
  <si>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</si>
  <si>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</si>
  <si>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</si>
  <si>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</si>
  <si>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</si>
  <si>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</si>
  <si>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</si>
  <si>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</si>
  <si>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</si>
  <si>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</si>
  <si>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</si>
  <si>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</si>
  <si>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</si>
  <si>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</si>
  <si>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</si>
  <si>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</si>
  <si>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</si>
  <si>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</si>
  <si>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</si>
  <si>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</si>
  <si>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</si>
  <si>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</si>
  <si>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</si>
  <si>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</si>
  <si>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</si>
  <si>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</si>
  <si>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</si>
  <si>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</si>
  <si>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</si>
  <si>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</si>
  <si>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</si>
  <si>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</si>
  <si>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</si>
  <si>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</si>
  <si>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</si>
  <si>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</si>
  <si>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</si>
  <si>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</si>
  <si>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</si>
  <si>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</si>
  <si>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</si>
  <si>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</si>
  <si>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</si>
  <si>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</si>
  <si>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</si>
  <si>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</si>
  <si>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</si>
  <si>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</si>
  <si>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</si>
  <si>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</si>
  <si>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</si>
  <si>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</si>
  <si>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</si>
  <si>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</si>
  <si>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</si>
  <si>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</si>
  <si>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</si>
  <si>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</si>
  <si>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</si>
  <si>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</si>
  <si>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</si>
  <si>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</si>
  <si>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</si>
  <si>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</si>
  <si>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</si>
  <si>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</si>
  <si>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</si>
  <si>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</si>
  <si>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</si>
  <si>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</si>
  <si>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</si>
  <si>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</si>
  <si>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</si>
  <si>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</si>
  <si>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</si>
  <si>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</si>
  <si>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</si>
  <si>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</si>
  <si>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</si>
  <si>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</si>
  <si>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</si>
  <si>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</si>
  <si>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</si>
  <si>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</si>
  <si>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</si>
  <si>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</si>
  <si>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</si>
  <si>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</si>
  <si>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</si>
  <si>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</si>
  <si>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</si>
  <si>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</si>
  <si>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</si>
  <si>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</si>
  <si>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</si>
  <si>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</si>
  <si>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</si>
  <si>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</si>
  <si>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</si>
  <si>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</si>
  <si>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</si>
  <si>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</si>
  <si>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</si>
  <si>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</si>
  <si>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</si>
  <si>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</si>
  <si>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</si>
  <si>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</si>
  <si>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</si>
  <si>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</si>
  <si>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</si>
  <si>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</si>
  <si>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</si>
  <si>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</si>
  <si>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</si>
  <si>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</si>
  <si>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</si>
  <si>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</si>
  <si>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</si>
  <si>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</si>
  <si>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</si>
  <si>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</si>
  <si>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</si>
  <si>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</si>
  <si>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</si>
  <si>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</si>
  <si>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</si>
  <si>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</si>
  <si>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</si>
  <si>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</si>
  <si>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</si>
  <si>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</si>
  <si>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</si>
  <si>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</si>
  <si>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</si>
  <si>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</si>
  <si>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</si>
  <si>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</si>
  <si>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</si>
  <si>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</si>
  <si>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</si>
  <si>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</si>
  <si>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</si>
  <si>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</si>
  <si>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</si>
  <si>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</si>
  <si>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</si>
  <si>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</si>
  <si>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</si>
  <si>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</si>
  <si>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</si>
  <si>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</si>
  <si>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</si>
  <si>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</si>
  <si>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</si>
  <si>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</si>
  <si>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</si>
  <si>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</si>
  <si>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</si>
  <si>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</si>
  <si>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</si>
  <si>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</si>
  <si>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</si>
  <si>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</si>
  <si>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</si>
  <si>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</si>
  <si>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</si>
  <si>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</si>
  <si>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</si>
  <si>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</si>
  <si>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</si>
  <si>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</si>
  <si>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</si>
  <si>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</si>
  <si>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</si>
  <si>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</si>
  <si>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</si>
  <si>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</si>
  <si>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</si>
  <si>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</si>
  <si>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</si>
  <si>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</si>
  <si>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</si>
  <si>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</si>
  <si>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</si>
  <si>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</si>
  <si>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</si>
  <si>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</si>
  <si>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</si>
  <si>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</si>
  <si>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</si>
  <si>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</si>
  <si>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</si>
  <si>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</si>
  <si>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</si>
  <si>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</si>
  <si>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</si>
  <si>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</si>
  <si>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</si>
  <si>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</si>
  <si>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</si>
  <si>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</si>
  <si>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</si>
  <si>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</si>
  <si>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</si>
  <si>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</si>
  <si>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</si>
  <si>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</si>
  <si>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</si>
  <si>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</si>
  <si>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</si>
  <si>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</si>
  <si>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</si>
  <si>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</si>
  <si>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</si>
  <si>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</si>
  <si>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</si>
  <si>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</si>
  <si>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</si>
  <si>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</si>
  <si>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</si>
  <si>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</si>
  <si>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</si>
  <si>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</si>
  <si>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</si>
  <si>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</si>
  <si>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</si>
  <si>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</si>
  <si>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</si>
  <si>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</si>
  <si>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</si>
  <si>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</si>
  <si>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</si>
  <si>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</si>
  <si>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</si>
  <si>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</si>
  <si>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</si>
  <si>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</si>
  <si>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</si>
  <si>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</si>
  <si>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</si>
  <si>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</si>
  <si>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</si>
  <si>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</si>
  <si>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</si>
  <si>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</si>
  <si>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</si>
  <si>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</si>
  <si>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</si>
  <si>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</si>
  <si>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</si>
  <si>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</si>
  <si>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</si>
  <si>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</si>
  <si>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</si>
  <si>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</si>
  <si>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</si>
  <si>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</si>
  <si>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</si>
  <si>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</si>
  <si>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</si>
  <si>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</si>
  <si>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</si>
  <si>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</si>
  <si>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</si>
  <si>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</si>
  <si>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</si>
  <si>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</si>
  <si>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</si>
  <si>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</si>
  <si>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</si>
  <si>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</si>
  <si>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</si>
  <si>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</si>
  <si>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</si>
  <si>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</si>
  <si>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</si>
  <si>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</si>
  <si>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</si>
  <si>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</si>
  <si>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</si>
  <si>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</si>
  <si>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</si>
  <si>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</si>
  <si>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</si>
  <si>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</si>
  <si>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</si>
  <si>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</si>
  <si>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</si>
  <si>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</si>
  <si>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</si>
  <si>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</si>
  <si>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</si>
  <si>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</si>
  <si>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</si>
  <si>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</si>
  <si>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</si>
  <si>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</si>
  <si>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</si>
  <si>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</si>
  <si>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</si>
  <si>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</si>
  <si>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</si>
  <si>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</si>
  <si>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</si>
  <si>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</si>
  <si>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</si>
  <si>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</si>
  <si>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</si>
  <si>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</si>
  <si>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</si>
  <si>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</si>
  <si>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</si>
  <si>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</si>
  <si>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</si>
  <si>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</si>
  <si>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</si>
  <si>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</si>
  <si>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</si>
  <si>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</si>
  <si>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</si>
  <si>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</si>
  <si>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</si>
  <si>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</si>
  <si>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</si>
  <si>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</si>
  <si>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</si>
  <si>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</si>
  <si>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</si>
  <si>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</si>
  <si>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</si>
  <si>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</si>
  <si>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</si>
  <si>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</si>
  <si>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</si>
  <si>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</si>
  <si>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</si>
  <si>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</si>
  <si>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</si>
  <si>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</si>
  <si>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</si>
  <si>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</si>
  <si>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</si>
  <si>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</si>
  <si>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</si>
  <si>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</si>
  <si>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</si>
  <si>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</si>
  <si>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</si>
  <si>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</si>
  <si>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</si>
  <si>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</si>
  <si>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</si>
  <si>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</si>
  <si>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</si>
  <si>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</si>
  <si>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</si>
  <si>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</si>
  <si>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</si>
  <si>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</si>
  <si>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</si>
  <si>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</si>
  <si>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</si>
  <si>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</si>
  <si>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</si>
  <si>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</si>
  <si>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</si>
  <si>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</si>
  <si>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</si>
  <si>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</si>
  <si>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</si>
  <si>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</si>
  <si>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</si>
  <si>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</si>
  <si>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</si>
  <si>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</si>
  <si>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</si>
  <si>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</si>
  <si>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</si>
  <si>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</si>
  <si>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</si>
  <si>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</si>
  <si>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</si>
  <si>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</si>
  <si>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</si>
  <si>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</si>
  <si>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</si>
  <si>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</si>
  <si>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</si>
  <si>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</si>
  <si>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</si>
  <si>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</si>
  <si>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</si>
  <si>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</si>
  <si>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</si>
  <si>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</si>
  <si>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</si>
  <si>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</si>
  <si>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</si>
  <si>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</si>
  <si>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</si>
  <si>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</si>
  <si>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</si>
  <si>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</si>
  <si>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</si>
  <si>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</si>
  <si>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</si>
  <si>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</si>
  <si>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</si>
  <si>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</si>
  <si>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</si>
  <si>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</si>
  <si>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</si>
  <si>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</si>
  <si>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</si>
  <si>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</si>
  <si>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</si>
  <si>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</si>
  <si>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</si>
  <si>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</si>
  <si>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</si>
  <si>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</si>
  <si>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</si>
  <si>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</si>
  <si>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</si>
  <si>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</si>
  <si>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</si>
  <si>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</si>
  <si>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</si>
  <si>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</si>
  <si>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</si>
  <si>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</si>
  <si>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</si>
  <si>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</si>
  <si>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</si>
  <si>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</si>
  <si>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</si>
  <si>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</si>
  <si>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</si>
  <si>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</si>
  <si>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</si>
  <si>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</si>
  <si>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</si>
  <si>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</si>
  <si>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</si>
  <si>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</si>
  <si>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</si>
  <si>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</si>
  <si>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</si>
  <si>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</si>
  <si>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</si>
  <si>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</si>
  <si>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</si>
  <si>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</si>
  <si>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</si>
  <si>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</si>
  <si>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</si>
  <si>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</si>
  <si>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</si>
  <si>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</si>
  <si>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</si>
  <si>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</si>
  <si>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</si>
  <si>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</si>
  <si>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</si>
  <si>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</si>
  <si>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</si>
  <si>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</si>
  <si>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</si>
  <si>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</si>
  <si>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</si>
  <si>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</si>
  <si>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</si>
  <si>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</si>
  <si>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</si>
  <si>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</si>
  <si>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</si>
  <si>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</si>
  <si>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</si>
  <si>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</si>
  <si>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</si>
  <si>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</si>
  <si>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</si>
  <si>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</si>
  <si>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</si>
  <si>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</si>
  <si>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</si>
  <si>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</si>
  <si>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</si>
  <si>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</si>
  <si>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</si>
  <si>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</si>
  <si>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</si>
  <si>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</si>
  <si>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</si>
  <si>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</si>
  <si>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</si>
  <si>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</si>
  <si>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</si>
  <si>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</si>
  <si>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</si>
  <si>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</si>
  <si>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</si>
  <si>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</si>
  <si>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</si>
  <si>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</si>
  <si>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</si>
  <si>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</si>
  <si>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</si>
  <si>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</si>
  <si>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</si>
  <si>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</si>
  <si>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</si>
  <si>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</si>
  <si>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</si>
  <si>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</si>
  <si>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</si>
  <si>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</si>
  <si>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</si>
  <si>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</si>
  <si>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</si>
  <si>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</si>
  <si>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</si>
  <si>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</si>
  <si>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</si>
  <si>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</si>
  <si>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</si>
  <si>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</si>
  <si>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</si>
  <si>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</si>
  <si>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</si>
  <si>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</si>
  <si>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</si>
  <si>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</si>
  <si>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</si>
  <si>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</si>
  <si>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</si>
  <si>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</si>
  <si>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</si>
  <si>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</si>
  <si>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</si>
  <si>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</si>
  <si>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</si>
  <si>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</si>
  <si>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</si>
  <si>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</si>
  <si>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</si>
  <si>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</si>
  <si>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</si>
  <si>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</si>
  <si>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</si>
  <si>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</si>
  <si>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</si>
  <si>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</si>
  <si>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</si>
  <si>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</si>
  <si>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</si>
  <si>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</si>
  <si>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</si>
  <si>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</si>
  <si>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</si>
  <si>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</si>
  <si>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</si>
  <si>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</si>
  <si>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</si>
  <si>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</si>
  <si>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</si>
  <si>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</si>
  <si>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</si>
  <si>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</si>
  <si>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</si>
  <si>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</si>
  <si>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</si>
  <si>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</si>
  <si>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</si>
  <si>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</si>
  <si>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</si>
  <si>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</si>
  <si>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</si>
  <si>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</si>
  <si>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</si>
  <si>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</si>
  <si>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</si>
  <si>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</si>
  <si>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</si>
  <si>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</si>
  <si>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</si>
  <si>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</si>
  <si>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</si>
  <si>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</si>
  <si>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</si>
  <si>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</si>
  <si>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</si>
  <si>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</si>
  <si>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</si>
  <si>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</si>
  <si>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</si>
  <si>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</si>
  <si>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</si>
  <si>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</si>
  <si>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</si>
  <si>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</si>
  <si>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</si>
  <si>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</si>
  <si>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</si>
  <si>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</si>
  <si>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</si>
  <si>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</si>
  <si>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</si>
  <si>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</si>
  <si>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</si>
  <si>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</si>
  <si>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</si>
  <si>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</si>
  <si>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</si>
  <si>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</si>
  <si>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</si>
  <si>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</si>
  <si>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</si>
  <si>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</si>
  <si>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</si>
  <si>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</si>
  <si>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</si>
  <si>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</si>
  <si>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</si>
  <si>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</si>
  <si>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</si>
  <si>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</si>
  <si>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</si>
  <si>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</si>
  <si>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</si>
  <si>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</si>
  <si>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</si>
  <si>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</si>
  <si>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</si>
  <si>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</si>
  <si>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</si>
  <si>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</si>
  <si>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</si>
  <si>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</si>
  <si>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</si>
  <si>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</si>
  <si>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</si>
  <si>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</si>
  <si>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</si>
  <si>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</si>
  <si>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</si>
  <si>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</si>
  <si>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</si>
  <si>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</si>
  <si>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</si>
  <si>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</si>
  <si>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</si>
  <si>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</si>
  <si>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</si>
  <si>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</si>
  <si>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</si>
  <si>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</si>
  <si>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</si>
  <si>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</si>
  <si>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</si>
  <si>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</si>
  <si>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</si>
  <si>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</si>
  <si>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</si>
  <si>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</si>
  <si>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</si>
  <si>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</si>
  <si>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</si>
  <si>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</si>
  <si>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</si>
  <si>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</si>
  <si>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</si>
  <si>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</si>
  <si>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</si>
  <si>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</si>
  <si>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</si>
  <si>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</si>
  <si>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</si>
  <si>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</si>
  <si>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</si>
  <si>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</si>
  <si>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</si>
  <si>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</si>
  <si>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</si>
  <si>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</si>
  <si>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</si>
  <si>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</si>
  <si>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</si>
  <si>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</si>
  <si>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</si>
  <si>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</si>
  <si>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</si>
  <si>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</si>
  <si>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</si>
  <si>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</si>
  <si>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</si>
  <si>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</si>
  <si>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</si>
  <si>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</si>
  <si>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</si>
  <si>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</si>
  <si>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</si>
  <si>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</si>
  <si>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</si>
  <si>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</si>
  <si>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</si>
  <si>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</si>
  <si>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</si>
  <si>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</si>
  <si>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</si>
  <si>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</si>
  <si>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</si>
  <si>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</si>
  <si>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</si>
  <si>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</si>
  <si>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</si>
  <si>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</si>
  <si>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</si>
  <si>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</si>
  <si>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</si>
  <si>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</si>
  <si>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</si>
  <si>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</si>
  <si>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</si>
  <si>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</si>
  <si>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</si>
  <si>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</si>
  <si>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</si>
  <si>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</si>
  <si>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</si>
  <si>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</si>
  <si>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</si>
  <si>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</si>
  <si>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</si>
  <si>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</si>
  <si>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</si>
  <si>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</si>
  <si>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</si>
  <si>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</si>
  <si>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</si>
  <si>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</si>
  <si>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</si>
  <si>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</si>
  <si>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</si>
  <si>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</si>
  <si>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</si>
  <si>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</si>
  <si>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</si>
  <si>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</si>
  <si>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</si>
  <si>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</si>
  <si>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</si>
  <si>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</si>
  <si>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</si>
  <si>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</si>
  <si>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</si>
  <si>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</si>
  <si>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</si>
  <si>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</si>
  <si>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</si>
  <si>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</si>
  <si>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</si>
  <si>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</si>
  <si>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</si>
  <si>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</si>
  <si>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</si>
  <si>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</si>
  <si>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</si>
  <si>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</si>
  <si>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</si>
  <si>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</si>
  <si>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</si>
  <si>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</si>
  <si>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</si>
  <si>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</si>
  <si>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</si>
  <si>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</si>
  <si>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</si>
  <si>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</si>
  <si>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</si>
  <si>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</si>
  <si>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</si>
  <si>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</si>
  <si>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</si>
  <si>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</si>
  <si>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</si>
  <si>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</si>
  <si>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</si>
  <si>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</si>
  <si>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</si>
  <si>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</si>
  <si>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</si>
  <si>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</si>
  <si>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</si>
  <si>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</si>
  <si>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</si>
  <si>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</si>
  <si>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</si>
  <si>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</si>
  <si>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</si>
  <si>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</si>
  <si>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</si>
  <si>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</si>
  <si>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</si>
  <si>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</si>
  <si>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</si>
  <si>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</si>
  <si>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</si>
  <si>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</si>
  <si>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</si>
  <si>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</si>
  <si>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</si>
  <si>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</si>
  <si>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</si>
  <si>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</si>
  <si>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</si>
  <si>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</si>
  <si>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</si>
  <si>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</si>
  <si>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</si>
  <si>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</si>
  <si>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</si>
  <si>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</si>
  <si>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</si>
  <si>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</si>
  <si>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</si>
  <si>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</si>
  <si>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</si>
  <si>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</si>
  <si>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</si>
  <si>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</si>
  <si>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</si>
  <si>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</si>
  <si>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</si>
  <si>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</si>
  <si>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</si>
  <si>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</si>
  <si>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</si>
  <si>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</si>
  <si>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</si>
  <si>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</si>
  <si>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</si>
  <si>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</si>
  <si>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</si>
  <si>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</si>
  <si>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</si>
  <si>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</si>
  <si>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</si>
  <si>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</si>
  <si>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</si>
  <si>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</si>
  <si>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</si>
  <si>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</si>
  <si>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</si>
  <si>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</si>
  <si>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</si>
  <si>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</si>
  <si>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</si>
  <si>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</si>
  <si>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</si>
  <si>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</si>
  <si>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</si>
  <si>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</si>
  <si>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</si>
  <si>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</si>
  <si>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</si>
  <si>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</si>
  <si>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</si>
  <si>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</si>
  <si>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</si>
  <si>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</si>
  <si>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</si>
  <si>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</si>
  <si>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</si>
  <si>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</si>
  <si>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</si>
  <si>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</si>
  <si>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</si>
  <si>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</si>
  <si>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</si>
  <si>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</si>
  <si>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</si>
  <si>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</si>
  <si>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</si>
  <si>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</si>
  <si>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</si>
  <si>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</si>
  <si>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</si>
  <si>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</si>
  <si>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</si>
  <si>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</si>
  <si>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</si>
  <si>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</si>
  <si>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</si>
  <si>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</si>
  <si>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</si>
  <si>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</si>
  <si>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</si>
  <si>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</si>
  <si>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</si>
  <si>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</si>
  <si>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</si>
  <si>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</si>
  <si>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</si>
  <si>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</si>
  <si>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</si>
  <si>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</si>
  <si>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</si>
  <si>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</si>
  <si>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</si>
  <si>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</si>
  <si>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</si>
  <si>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</si>
  <si>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</si>
  <si>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</si>
  <si>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</si>
  <si>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</si>
  <si>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</si>
  <si>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</si>
  <si>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</si>
  <si>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</si>
  <si>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</si>
  <si>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</si>
  <si>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</si>
  <si>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</si>
  <si>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</si>
  <si>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</si>
  <si>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</si>
  <si>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</si>
  <si>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</si>
  <si>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</si>
  <si>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</si>
  <si>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</si>
  <si>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</si>
  <si>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</si>
  <si>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</si>
  <si>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</si>
  <si>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</si>
  <si>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</si>
  <si>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</si>
  <si>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</si>
  <si>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</si>
  <si>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</si>
  <si>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</si>
  <si>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</si>
  <si>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</si>
  <si>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</si>
  <si>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</si>
  <si>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</si>
  <si>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</si>
  <si>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</si>
  <si>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</si>
  <si>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</si>
  <si>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</si>
  <si>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</si>
  <si>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</si>
  <si>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</si>
  <si>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</si>
  <si>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</si>
  <si>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</si>
  <si>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</si>
  <si>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</si>
  <si>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</si>
  <si>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</si>
  <si>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</si>
  <si>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</si>
  <si>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</si>
  <si>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</si>
  <si>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</si>
  <si>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</si>
  <si>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</si>
  <si>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</si>
  <si>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</si>
  <si>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</si>
  <si>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</si>
  <si>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</si>
  <si>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</si>
  <si>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</si>
  <si>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</si>
  <si>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</si>
  <si>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</si>
  <si>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</si>
  <si>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</si>
  <si>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</si>
  <si>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</si>
  <si>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</si>
  <si>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</si>
  <si>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</si>
  <si>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</si>
  <si>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</si>
  <si>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</si>
  <si>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</si>
  <si>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</si>
  <si>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</si>
  <si>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</si>
  <si>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</si>
  <si>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</si>
  <si>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</si>
  <si>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</si>
  <si>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</si>
  <si>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</si>
  <si>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</si>
  <si>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</si>
  <si>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</si>
  <si>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</si>
  <si>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</si>
  <si>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</si>
  <si>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</si>
  <si>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</si>
  <si>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</si>
  <si>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</si>
  <si>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</si>
  <si>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</si>
  <si>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</si>
  <si>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</si>
  <si>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</si>
  <si>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</si>
  <si>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</si>
  <si>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</si>
  <si>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</si>
  <si>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</si>
  <si>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</si>
  <si>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</si>
  <si>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</si>
  <si>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</si>
  <si>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</si>
  <si>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</si>
  <si>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</si>
  <si>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</si>
  <si>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</si>
  <si>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</si>
  <si>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</si>
  <si>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</si>
  <si>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</si>
  <si>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</si>
  <si>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</si>
  <si>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</si>
  <si>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</si>
  <si>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</si>
  <si>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</si>
  <si>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</si>
  <si>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</si>
  <si>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</si>
  <si>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</si>
  <si>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</si>
  <si>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</si>
  <si>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</si>
  <si>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</si>
  <si>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</si>
  <si>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</si>
  <si>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</si>
  <si>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</si>
  <si>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</si>
  <si>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</si>
  <si>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</si>
  <si>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</si>
  <si>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</si>
  <si>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</si>
  <si>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</si>
  <si>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</si>
  <si>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</si>
  <si>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</si>
  <si>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</si>
  <si>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</si>
  <si>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</si>
  <si>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</si>
  <si>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</si>
  <si>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</si>
  <si>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</si>
  <si>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</si>
  <si>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</si>
  <si>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</si>
  <si>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</si>
  <si>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</si>
  <si>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</si>
  <si>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</si>
  <si>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</si>
  <si>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</si>
  <si>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</si>
  <si>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</si>
  <si>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</si>
  <si>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</si>
  <si>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</si>
  <si>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</si>
  <si>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</si>
  <si>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</si>
  <si>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</si>
  <si>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</si>
  <si>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</si>
  <si>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</si>
  <si>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</si>
  <si>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</si>
  <si>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</si>
  <si>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</si>
  <si>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</si>
  <si>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</si>
  <si>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</si>
  <si>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</si>
  <si>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</si>
  <si>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</si>
  <si>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</si>
  <si>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</si>
  <si>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</si>
  <si>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</si>
  <si>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</si>
  <si>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</si>
  <si>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</si>
  <si>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</si>
  <si>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</si>
  <si>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</si>
  <si>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</si>
  <si>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</si>
  <si>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</si>
  <si>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</si>
  <si>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</si>
  <si>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</si>
  <si>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</si>
  <si>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</si>
  <si>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</si>
  <si>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</si>
  <si>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</si>
  <si>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</si>
  <si>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</si>
  <si>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</si>
  <si>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</si>
  <si>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</si>
  <si>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</si>
  <si>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</si>
  <si>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</si>
  <si>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</si>
  <si>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</si>
  <si>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</si>
  <si>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</si>
  <si>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</si>
  <si>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</si>
  <si>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</si>
  <si>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</si>
  <si>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</si>
  <si>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</si>
  <si>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</si>
  <si>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</si>
  <si>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</si>
  <si>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</si>
  <si>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</si>
  <si>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</si>
  <si>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</si>
  <si>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</si>
  <si>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</si>
  <si>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</si>
  <si>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</si>
  <si>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</si>
  <si>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</si>
  <si>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</si>
  <si>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</si>
  <si>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</si>
  <si>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</si>
  <si>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</si>
  <si>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</si>
  <si>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</si>
  <si>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</si>
  <si>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</si>
  <si>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</si>
  <si>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</si>
  <si>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</si>
  <si>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</si>
  <si>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</si>
  <si>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</si>
  <si>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</si>
  <si>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</si>
  <si>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</si>
  <si>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</si>
  <si>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</si>
  <si>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</si>
  <si>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</si>
  <si>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</si>
  <si>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</si>
  <si>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</si>
  <si>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</si>
  <si>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</si>
  <si>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</si>
  <si>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</si>
  <si>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</si>
  <si>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</si>
  <si>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</si>
  <si>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</si>
  <si>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</si>
  <si>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</si>
  <si>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</si>
  <si>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</si>
  <si>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</si>
  <si>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</si>
  <si>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</si>
  <si>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</si>
  <si>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</si>
  <si>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</si>
  <si>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</si>
  <si>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</si>
  <si>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</si>
  <si>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</si>
  <si>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</si>
  <si>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</si>
  <si>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</si>
  <si>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</si>
  <si>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</si>
  <si>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</si>
  <si>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</si>
  <si>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</si>
  <si>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</si>
  <si>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</si>
  <si>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</si>
  <si>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</si>
  <si>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</si>
  <si>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</si>
  <si>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</si>
  <si>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</si>
  <si>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</si>
  <si>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</si>
  <si>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</si>
  <si>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</si>
  <si>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</si>
  <si>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</si>
  <si>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</si>
  <si>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</si>
  <si>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</si>
  <si>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</si>
  <si>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</si>
  <si>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</si>
  <si>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</si>
  <si>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</si>
  <si>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</si>
  <si>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</si>
  <si>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</si>
  <si>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</si>
  <si>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</si>
  <si>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</si>
  <si>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</si>
  <si>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</si>
  <si>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</si>
  <si>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</si>
  <si>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</si>
  <si>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</si>
  <si>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</si>
  <si>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</si>
  <si>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</si>
  <si>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</si>
  <si>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</si>
  <si>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</si>
  <si>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</si>
  <si>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</si>
  <si>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</si>
  <si>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</si>
  <si>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</si>
  <si>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</si>
  <si>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</si>
  <si>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</si>
  <si>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</si>
  <si>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</si>
  <si>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</si>
  <si>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</si>
  <si>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</si>
  <si>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</si>
  <si>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</si>
  <si>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</si>
  <si>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</si>
  <si>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</si>
  <si>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</si>
  <si>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</si>
  <si>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</si>
  <si>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</si>
  <si>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</si>
  <si>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</si>
  <si>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</si>
  <si>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</si>
  <si>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</si>
  <si>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</si>
  <si>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</si>
  <si>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</si>
  <si>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</si>
  <si>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</si>
  <si>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</si>
  <si>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</si>
  <si>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</si>
  <si>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</si>
  <si>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</si>
  <si>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</si>
  <si>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</si>
  <si>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</si>
  <si>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</si>
  <si>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</si>
  <si>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</si>
  <si>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</si>
  <si>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</si>
  <si>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</si>
  <si>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</si>
  <si>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</si>
  <si>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</si>
  <si>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</si>
  <si>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</si>
  <si>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</si>
  <si>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</si>
  <si>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</si>
  <si>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</si>
  <si>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</si>
  <si>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</si>
  <si>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</si>
  <si>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</si>
  <si>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</si>
  <si>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</si>
  <si>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</si>
  <si>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</si>
  <si>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</si>
  <si>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</si>
  <si>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</si>
  <si>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</si>
  <si>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</si>
  <si>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</si>
  <si>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</si>
  <si>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</si>
  <si>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</si>
  <si>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</si>
  <si>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</si>
  <si>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</si>
  <si>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</si>
  <si>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</si>
  <si>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</si>
  <si>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</si>
  <si>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</si>
  <si>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</si>
  <si>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</si>
  <si>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</si>
  <si>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</si>
  <si>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</si>
  <si>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</si>
  <si>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</si>
  <si>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</si>
  <si>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</si>
  <si>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</si>
  <si>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</si>
  <si>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</si>
  <si>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</si>
  <si>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</si>
  <si>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</si>
  <si>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</si>
  <si>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</si>
  <si>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</si>
  <si>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</si>
  <si>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</si>
  <si>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</si>
  <si>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</si>
  <si>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</si>
  <si>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</si>
  <si>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</si>
  <si>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</si>
  <si>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</si>
  <si>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</si>
  <si>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</si>
  <si>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</si>
  <si>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</si>
  <si>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</si>
  <si>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</si>
  <si>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</si>
  <si>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</si>
  <si>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</si>
  <si>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</si>
  <si>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</si>
  <si>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</si>
  <si>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</si>
  <si>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</si>
  <si>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</si>
  <si>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</si>
  <si>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</si>
  <si>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</si>
  <si>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</si>
  <si>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</si>
  <si>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</si>
  <si>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</si>
  <si>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</si>
  <si>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</si>
  <si>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</si>
  <si>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</si>
  <si>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</si>
  <si>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</si>
  <si>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</si>
  <si>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</si>
  <si>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</si>
  <si>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</si>
  <si>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</si>
  <si>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</si>
  <si>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</si>
  <si>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</si>
  <si>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</si>
  <si>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</si>
  <si>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</si>
  <si>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</si>
  <si>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</si>
  <si>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</si>
  <si>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</si>
  <si>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</si>
  <si>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</si>
  <si>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</si>
  <si>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</si>
  <si>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</si>
  <si>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</si>
  <si>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</si>
  <si>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</si>
  <si>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</si>
  <si>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</si>
  <si>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</si>
  <si>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</si>
  <si>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</si>
  <si>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</si>
  <si>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</si>
  <si>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</si>
  <si>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</si>
  <si>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</si>
  <si>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</si>
  <si>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</si>
  <si>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</si>
  <si>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</si>
  <si>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</si>
  <si>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</si>
  <si>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</si>
  <si>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</si>
  <si>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</si>
  <si>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</si>
  <si>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</si>
  <si>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</si>
  <si>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</si>
  <si>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</si>
  <si>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</si>
  <si>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</si>
  <si>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</si>
  <si>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</si>
  <si>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</si>
  <si>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</si>
  <si>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</si>
  <si>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</si>
  <si>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</si>
  <si>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</si>
  <si>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</si>
  <si>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</si>
  <si>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</si>
  <si>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</si>
  <si>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</si>
  <si>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</si>
  <si>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</si>
  <si>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</si>
  <si>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</si>
  <si>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</si>
  <si>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</si>
  <si>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</si>
  <si>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</si>
  <si>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</si>
  <si>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</si>
  <si>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</si>
  <si>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</si>
  <si>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</si>
  <si>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</si>
  <si>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</si>
  <si>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</si>
  <si>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</si>
  <si>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</si>
  <si>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</si>
  <si>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</si>
  <si>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</si>
  <si>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</si>
  <si>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</si>
  <si>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</si>
  <si>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</si>
  <si>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</si>
  <si>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</si>
  <si>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</si>
  <si>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</si>
  <si>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</si>
  <si>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</si>
  <si>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</si>
  <si>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</si>
  <si>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</si>
  <si>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</si>
  <si>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</si>
  <si>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</si>
  <si>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</si>
  <si>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</si>
  <si>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</si>
  <si>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</si>
  <si>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</si>
  <si>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</si>
  <si>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</si>
  <si>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</si>
  <si>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</si>
  <si>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</si>
  <si>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</si>
  <si>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</si>
  <si>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</si>
  <si>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</si>
  <si>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</si>
  <si>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</si>
  <si>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</si>
  <si>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</si>
  <si>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</si>
  <si>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</si>
  <si>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</si>
  <si>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</si>
  <si>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</si>
  <si>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</si>
  <si>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</si>
  <si>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</si>
  <si>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</si>
  <si>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</si>
  <si>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</si>
  <si>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</si>
  <si>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</si>
  <si>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</si>
  <si>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</si>
  <si>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</si>
  <si>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</si>
  <si>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</si>
  <si>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</si>
  <si>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</si>
  <si>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</si>
  <si>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</si>
  <si>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</si>
  <si>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</si>
  <si>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</si>
  <si>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</si>
  <si>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</si>
  <si>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</si>
  <si>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</si>
  <si>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</si>
  <si>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</si>
  <si>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</si>
  <si>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</si>
  <si>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</si>
  <si>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</si>
  <si>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</si>
  <si>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</si>
  <si>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</si>
  <si>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</si>
  <si>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</si>
  <si>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</si>
  <si>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</si>
  <si>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</si>
  <si>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</si>
  <si>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</si>
  <si>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</si>
  <si>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</si>
  <si>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</si>
  <si>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</si>
  <si>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</si>
  <si>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</si>
  <si>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</si>
  <si>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</si>
  <si>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</si>
  <si>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</si>
  <si>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</si>
  <si>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</si>
  <si>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</si>
  <si>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</si>
  <si>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</si>
  <si>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</si>
  <si>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</si>
  <si>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</si>
  <si>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</si>
  <si>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</si>
  <si>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</si>
  <si>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</si>
  <si>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</si>
  <si>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</si>
  <si>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</si>
  <si>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</si>
  <si>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</si>
  <si>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</si>
  <si>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</si>
  <si>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</si>
  <si>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</si>
  <si>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</si>
  <si>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</si>
  <si>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</si>
  <si>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</si>
  <si>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</si>
  <si>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</si>
  <si>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</si>
  <si>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</si>
  <si>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</si>
  <si>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</si>
  <si>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</si>
  <si>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</si>
  <si>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</si>
  <si>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</si>
  <si>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</si>
  <si>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</si>
  <si>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</si>
  <si>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</si>
  <si>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</si>
  <si>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</si>
  <si>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</si>
  <si>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</si>
  <si>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</si>
  <si>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</si>
  <si>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</si>
  <si>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</si>
  <si>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</si>
  <si>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</si>
  <si>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</si>
  <si>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</si>
  <si>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</si>
  <si>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</si>
  <si>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</si>
  <si>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</si>
  <si>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</si>
  <si>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</si>
  <si>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</si>
  <si>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</si>
  <si>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</si>
  <si>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</si>
  <si>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</si>
  <si>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</si>
  <si>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</si>
  <si>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</si>
  <si>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</si>
  <si>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</si>
  <si>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</si>
  <si>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</si>
  <si>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</si>
  <si>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</si>
  <si>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</si>
  <si>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</si>
  <si>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</si>
  <si>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</si>
  <si>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</si>
  <si>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</si>
  <si>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</si>
  <si>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</si>
  <si>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</si>
  <si>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</si>
  <si>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</si>
  <si>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</si>
  <si>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</si>
  <si>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</si>
  <si>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</si>
  <si>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</si>
  <si>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</si>
  <si>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</si>
  <si>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</si>
  <si>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</si>
  <si>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</si>
  <si>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</si>
  <si>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</si>
  <si>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</si>
  <si>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</si>
  <si>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</si>
  <si>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</si>
  <si>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</si>
  <si>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</si>
  <si>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</si>
  <si>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</si>
  <si>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</si>
  <si>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</si>
  <si>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</si>
  <si>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</si>
  <si>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</si>
  <si>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</si>
  <si>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</si>
  <si>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</si>
  <si>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</si>
  <si>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</si>
  <si>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</si>
  <si>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</si>
  <si>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</si>
  <si>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</si>
  <si>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</si>
  <si>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</si>
  <si>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</si>
  <si>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</si>
  <si>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</si>
  <si>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</si>
  <si>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</si>
  <si>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</si>
  <si>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</si>
  <si>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</si>
  <si>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</si>
  <si>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</si>
  <si>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</si>
  <si>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</si>
  <si>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</si>
  <si>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</si>
  <si>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</si>
  <si>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</si>
  <si>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</si>
  <si>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</si>
  <si>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</si>
  <si>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</si>
  <si>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</si>
  <si>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</si>
  <si>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</si>
  <si>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</si>
  <si>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</si>
  <si>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</si>
  <si>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</si>
  <si>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</si>
  <si>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</si>
  <si>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</si>
  <si>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</si>
  <si>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</si>
  <si>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</si>
  <si>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</si>
  <si>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</si>
  <si>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</si>
  <si>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</si>
  <si>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</si>
  <si>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</si>
  <si>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</si>
  <si>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</si>
  <si>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</si>
  <si>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</si>
  <si>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</si>
  <si>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</si>
  <si>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</si>
  <si>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</si>
  <si>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</si>
  <si>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</si>
  <si>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</si>
  <si>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</si>
  <si>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</si>
  <si>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</si>
  <si>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</si>
  <si>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</si>
  <si>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</si>
  <si>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</si>
  <si>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</si>
  <si>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</si>
  <si>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</si>
  <si>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</si>
  <si>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</si>
  <si>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</si>
  <si>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</si>
  <si>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</si>
  <si>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</si>
  <si>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</si>
  <si>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</si>
  <si>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</si>
  <si>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</si>
  <si>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</si>
  <si>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</si>
  <si>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</si>
  <si>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</si>
  <si>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</si>
  <si>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</si>
  <si>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</si>
  <si>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</si>
  <si>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</si>
  <si>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</si>
  <si>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</si>
  <si>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</si>
  <si>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</si>
  <si>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</si>
  <si>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</si>
  <si>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</si>
  <si>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</si>
  <si>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</si>
  <si>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</si>
  <si>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</si>
  <si>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</si>
  <si>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</si>
  <si>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</si>
  <si>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</si>
  <si>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</si>
  <si>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</si>
  <si>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</si>
  <si>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</si>
  <si>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</si>
  <si>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</si>
  <si>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</si>
  <si>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</si>
  <si>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</si>
  <si>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</si>
  <si>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</si>
  <si>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</si>
  <si>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</si>
  <si>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</si>
  <si>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</si>
  <si>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</si>
  <si>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</si>
  <si>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</si>
  <si>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</si>
  <si>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</si>
  <si>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</si>
  <si>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</si>
  <si>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</si>
  <si>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</si>
  <si>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</si>
  <si>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</si>
  <si>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</si>
  <si>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</si>
  <si>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</si>
  <si>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</si>
  <si>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</si>
  <si>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</si>
  <si>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</si>
  <si>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</si>
  <si>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</si>
  <si>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</si>
  <si>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</si>
  <si>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</si>
  <si>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</si>
  <si>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</si>
  <si>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</si>
  <si>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</si>
  <si>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</si>
  <si>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</si>
  <si>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</si>
  <si>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</si>
  <si>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</si>
  <si>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</si>
  <si>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</si>
  <si>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</si>
  <si>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</si>
  <si>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</si>
  <si>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</si>
  <si>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</si>
  <si>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</si>
  <si>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</si>
  <si>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</si>
  <si>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</si>
  <si>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</si>
  <si>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</si>
  <si>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</si>
  <si>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</si>
  <si>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</si>
  <si>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</si>
  <si>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</si>
  <si>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</si>
  <si>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</si>
  <si>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</si>
  <si>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</si>
  <si>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</si>
  <si>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</si>
  <si>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</si>
  <si>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</si>
  <si>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</si>
  <si>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</si>
  <si>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</si>
  <si>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</si>
  <si>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</si>
  <si>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</si>
  <si>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</si>
  <si>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</si>
  <si>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</si>
  <si>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</si>
  <si>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</si>
  <si>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</si>
  <si>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</si>
  <si>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</si>
  <si>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新华人寿保险股份有限公司新疆分公司</t>
    <phoneticPr fontId="6" type="noConversion"/>
  </si>
  <si>
    <t>核定资产</t>
  </si>
  <si>
    <t>房地产市场价值</t>
  </si>
  <si>
    <t>新疆维吾尔自治区</t>
    <phoneticPr fontId="6" type="noConversion"/>
  </si>
  <si>
    <t>商业用地</t>
    <phoneticPr fontId="6" type="noConversion"/>
  </si>
  <si>
    <r>
      <rPr>
        <sz val="12"/>
        <rFont val="宋体"/>
        <family val="3"/>
        <charset val="134"/>
      </rPr>
      <t>剩余土地年限</t>
    </r>
    <phoneticPr fontId="6" type="noConversion"/>
  </si>
  <si>
    <t>否</t>
  </si>
  <si>
    <t>无</t>
  </si>
  <si>
    <t>现房</t>
  </si>
  <si>
    <t>通路</t>
  </si>
  <si>
    <t>通电</t>
  </si>
  <si>
    <t>通讯</t>
  </si>
  <si>
    <t>通上水</t>
  </si>
  <si>
    <t>通下水</t>
  </si>
  <si>
    <t>地上</t>
  </si>
  <si>
    <t>办公楼</t>
  </si>
  <si>
    <t>钢混</t>
  </si>
  <si>
    <t>非生产用房</t>
  </si>
  <si>
    <t>1层商业</t>
  </si>
  <si>
    <t>收益法 (1层商业)</t>
  </si>
  <si>
    <t>结果表（办公）</t>
    <phoneticPr fontId="16" type="noConversion"/>
  </si>
  <si>
    <t>结果表（商业）</t>
    <phoneticPr fontId="16" type="noConversion"/>
  </si>
  <si>
    <t>七通</t>
  </si>
  <si>
    <t>七通</t>
    <phoneticPr fontId="25" type="noConversion"/>
  </si>
  <si>
    <t>典型户型修正（商业）</t>
    <phoneticPr fontId="16" type="noConversion"/>
  </si>
  <si>
    <t>典型户型修正（办公）</t>
    <phoneticPr fontId="16" type="noConversion"/>
  </si>
  <si>
    <t>比较法-商业</t>
  </si>
  <si>
    <t>项目局部</t>
  </si>
  <si>
    <t>售价</t>
  </si>
  <si>
    <t>办公</t>
    <phoneticPr fontId="32" type="noConversion"/>
  </si>
  <si>
    <t>10-20（含）</t>
  </si>
  <si>
    <t>40-50（含）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</si>
  <si>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</si>
  <si>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</si>
  <si>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</si>
  <si>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</si>
  <si>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</si>
  <si>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</si>
  <si>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</si>
  <si>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</si>
  <si>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</si>
  <si>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</si>
  <si>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</si>
  <si>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</si>
  <si>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</si>
  <si>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</si>
  <si>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</si>
  <si>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</si>
  <si>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</si>
  <si>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</si>
  <si>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</si>
  <si>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</si>
  <si>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</si>
  <si>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</si>
  <si>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</si>
  <si>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</si>
  <si>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</si>
  <si>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</si>
  <si>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</si>
  <si>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</si>
  <si>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</si>
  <si>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</si>
  <si>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</si>
  <si>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</si>
  <si>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</si>
  <si>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</si>
  <si>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</si>
  <si>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</si>
  <si>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</si>
  <si>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</si>
  <si>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</si>
  <si>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</si>
  <si>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</si>
  <si>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较差</t>
  </si>
  <si>
    <t>主干道</t>
    <phoneticPr fontId="32" type="noConversion"/>
  </si>
  <si>
    <t>房屋状态</t>
    <phoneticPr fontId="32" type="noConversion"/>
  </si>
  <si>
    <t>期房</t>
    <phoneticPr fontId="32" type="noConversion"/>
  </si>
  <si>
    <t>现房</t>
    <phoneticPr fontId="32" type="noConversion"/>
  </si>
  <si>
    <t>期房</t>
    <phoneticPr fontId="32"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</si>
  <si>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</si>
  <si>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</si>
  <si>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</si>
  <si>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</si>
  <si>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</si>
  <si>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</si>
  <si>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</si>
  <si>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</si>
  <si>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</si>
  <si>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</si>
  <si>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</si>
  <si>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</si>
  <si>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</si>
  <si>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</si>
  <si>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</si>
  <si>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</si>
  <si>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</si>
  <si>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</si>
  <si>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</si>
  <si>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</si>
  <si>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</si>
  <si>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</si>
  <si>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</si>
  <si>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</si>
  <si>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</si>
  <si>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</si>
  <si>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</si>
  <si>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</si>
  <si>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</si>
  <si>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</si>
  <si>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</si>
  <si>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</si>
  <si>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</si>
  <si>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</si>
  <si>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</si>
  <si>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</si>
  <si>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</si>
  <si>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</si>
  <si>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</si>
  <si>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</si>
  <si>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</si>
  <si>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</si>
  <si>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</si>
  <si>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</si>
  <si>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紫金长安沿街商铺</t>
    <phoneticPr fontId="3"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</si>
  <si>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</si>
  <si>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</si>
  <si>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</si>
  <si>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</si>
  <si>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</si>
  <si>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</si>
  <si>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</si>
  <si>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</si>
  <si>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</si>
  <si>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</si>
  <si>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</si>
  <si>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</si>
  <si>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</si>
  <si>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</si>
  <si>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</si>
  <si>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</si>
  <si>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</si>
  <si>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</si>
  <si>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</si>
  <si>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</si>
  <si>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</si>
  <si>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</si>
  <si>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</si>
  <si>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</si>
  <si>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</si>
  <si>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</si>
  <si>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</si>
  <si>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</si>
  <si>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</si>
  <si>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</si>
  <si>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</si>
  <si>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</si>
  <si>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1" type="noConversion"/>
  </si>
  <si>
    <t>老城区、配套齐备</t>
    <phoneticPr fontId="31" type="noConversion"/>
  </si>
  <si>
    <t>较齐备</t>
    <phoneticPr fontId="31" type="noConversion"/>
  </si>
  <si>
    <t>七通</t>
    <phoneticPr fontId="31" type="noConversion"/>
  </si>
  <si>
    <t>现房</t>
    <phoneticPr fontId="31" type="noConversion"/>
  </si>
  <si>
    <t>现房</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</si>
  <si>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</si>
  <si>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</si>
  <si>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</si>
  <si>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</si>
  <si>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</si>
  <si>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</si>
  <si>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</si>
  <si>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</si>
  <si>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</si>
  <si>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收益法（办公）</t>
  </si>
  <si>
    <t>收益法（办公）</t>
    <phoneticPr fontId="16" type="noConversion"/>
  </si>
  <si>
    <t>收益法 (商业)</t>
    <phoneticPr fontId="16" type="noConversion"/>
  </si>
  <si>
    <t>2017-1-1080</t>
    <phoneticPr fontId="6" type="noConversion"/>
  </si>
  <si>
    <t>塔城市新城区伊宁路1-5层部分办公用房</t>
    <phoneticPr fontId="6" type="noConversion"/>
  </si>
  <si>
    <t>塔城市农村信用合作联社</t>
    <phoneticPr fontId="6" type="noConversion"/>
  </si>
  <si>
    <t>办公23.1</t>
    <phoneticPr fontId="6" type="noConversion"/>
  </si>
  <si>
    <r>
      <rPr>
        <sz val="12"/>
        <rFont val="宋体"/>
        <family val="3"/>
        <charset val="134"/>
      </rPr>
      <t>《国有土地使用证》</t>
    </r>
    <r>
      <rPr>
        <sz val="12"/>
        <rFont val="Arial"/>
        <family val="2"/>
      </rPr>
      <t>[</t>
    </r>
    <r>
      <rPr>
        <sz val="12"/>
        <rFont val="Arial"/>
        <family val="2"/>
      </rPr>
      <t>]</t>
    </r>
    <phoneticPr fontId="6" type="noConversion"/>
  </si>
  <si>
    <r>
      <rPr>
        <sz val="12"/>
        <rFont val="宋体"/>
        <family val="3"/>
        <charset val="134"/>
      </rPr>
      <t>《房屋所有权证》</t>
    </r>
    <r>
      <rPr>
        <sz val="12"/>
        <rFont val="Arial"/>
        <family val="2"/>
      </rPr>
      <t>[</t>
    </r>
    <r>
      <rPr>
        <sz val="12"/>
        <rFont val="宋体"/>
        <family val="3"/>
        <charset val="134"/>
      </rPr>
      <t>房权证塔字第</t>
    </r>
    <r>
      <rPr>
        <sz val="12"/>
        <rFont val="Arial"/>
        <family val="2"/>
      </rPr>
      <t>033686</t>
    </r>
    <r>
      <rPr>
        <sz val="12"/>
        <rFont val="宋体"/>
        <family val="3"/>
        <charset val="134"/>
      </rPr>
      <t>号</t>
    </r>
    <r>
      <rPr>
        <sz val="12"/>
        <rFont val="Arial"/>
        <family val="2"/>
      </rPr>
      <t>]</t>
    </r>
    <r>
      <rPr>
        <sz val="12"/>
        <color theme="9" tint="-0.249977111117893"/>
        <rFont val="宋体"/>
        <family val="3"/>
        <charset val="134"/>
      </rPr>
      <t/>
    </r>
    <phoneticPr fontId="6" type="noConversion"/>
  </si>
  <si>
    <t>办公项目</t>
  </si>
  <si>
    <t>通热</t>
  </si>
  <si>
    <t>燃气</t>
  </si>
  <si>
    <r>
      <t>1</t>
    </r>
    <r>
      <rPr>
        <sz val="10"/>
        <color indexed="8"/>
        <rFont val="宋体"/>
        <family val="3"/>
        <charset val="134"/>
      </rPr>
      <t>层办公</t>
    </r>
    <phoneticPr fontId="3" type="noConversion"/>
  </si>
  <si>
    <r>
      <t>2-4</t>
    </r>
    <r>
      <rPr>
        <sz val="10"/>
        <color indexed="8"/>
        <rFont val="宋体"/>
        <family val="3"/>
        <charset val="134"/>
      </rPr>
      <t>层办公</t>
    </r>
    <phoneticPr fontId="3" type="noConversion"/>
  </si>
  <si>
    <r>
      <t>5</t>
    </r>
    <r>
      <rPr>
        <sz val="10"/>
        <color indexed="8"/>
        <rFont val="宋体"/>
        <family val="3"/>
        <charset val="134"/>
      </rPr>
      <t>层办公</t>
    </r>
    <phoneticPr fontId="3" type="noConversion"/>
  </si>
  <si>
    <t>不在范围</t>
    <phoneticPr fontId="3" type="noConversion"/>
  </si>
  <si>
    <t>地下</t>
  </si>
  <si>
    <t>戊类库房</t>
  </si>
  <si>
    <t>办公</t>
    <phoneticPr fontId="7" type="noConversion"/>
  </si>
  <si>
    <t>一般</t>
    <phoneticPr fontId="25" type="noConversion"/>
  </si>
  <si>
    <t>一般</t>
    <phoneticPr fontId="25" type="noConversion"/>
  </si>
  <si>
    <t>较齐备</t>
    <phoneticPr fontId="41" type="noConversion"/>
  </si>
  <si>
    <t>一般</t>
    <phoneticPr fontId="41" type="noConversion"/>
  </si>
  <si>
    <t>城市主干道</t>
    <phoneticPr fontId="25" type="noConversion"/>
  </si>
  <si>
    <t>农商行</t>
    <phoneticPr fontId="3" type="noConversion"/>
  </si>
  <si>
    <t>丰禾源</t>
    <phoneticPr fontId="3" type="noConversion"/>
  </si>
  <si>
    <t>丰禾源</t>
    <phoneticPr fontId="3" type="noConversion"/>
  </si>
  <si>
    <t>20-30（含）</t>
  </si>
  <si>
    <t>低区</t>
  </si>
  <si>
    <t>现房</t>
    <phoneticPr fontId="32" type="noConversion"/>
  </si>
  <si>
    <t>写字楼办公</t>
  </si>
  <si>
    <t>写字楼办公</t>
    <phoneticPr fontId="32" type="noConversion"/>
  </si>
  <si>
    <t>商场配办公</t>
  </si>
  <si>
    <t>商场配办公</t>
    <phoneticPr fontId="32" type="noConversion"/>
  </si>
  <si>
    <t>混合</t>
  </si>
  <si>
    <t>超高层高</t>
  </si>
  <si>
    <t>简单装修</t>
  </si>
  <si>
    <t>启丰大厦</t>
    <phoneticPr fontId="3" type="noConversion"/>
  </si>
  <si>
    <t>无物业管理</t>
  </si>
  <si>
    <t>商业改办公</t>
    <phoneticPr fontId="32" type="noConversion"/>
  </si>
  <si>
    <t>是否带电梯</t>
    <phoneticPr fontId="32" type="noConversion"/>
  </si>
  <si>
    <t>否</t>
    <phoneticPr fontId="32" type="noConversion"/>
  </si>
  <si>
    <t>是</t>
    <phoneticPr fontId="32" type="noConversion"/>
  </si>
  <si>
    <t>是</t>
    <phoneticPr fontId="32" type="noConversion"/>
  </si>
  <si>
    <t>是否有车位</t>
    <phoneticPr fontId="32" type="noConversion"/>
  </si>
  <si>
    <t>是</t>
    <phoneticPr fontId="32" type="noConversion"/>
  </si>
  <si>
    <t>塔城</t>
    <phoneticPr fontId="143" type="noConversion"/>
  </si>
  <si>
    <t>年租金</t>
    <phoneticPr fontId="143" type="noConversion"/>
  </si>
  <si>
    <t>面积</t>
    <phoneticPr fontId="143" type="noConversion"/>
  </si>
  <si>
    <r>
      <rPr>
        <b/>
        <sz val="11"/>
        <rFont val="宋体"/>
        <family val="3"/>
        <charset val="134"/>
      </rPr>
      <t>估价对象</t>
    </r>
    <r>
      <rPr>
        <b/>
        <sz val="11"/>
        <rFont val="宋体"/>
        <family val="3"/>
        <charset val="134"/>
      </rPr>
      <t>办公用房的比较价值（楼面单价，元</t>
    </r>
    <r>
      <rPr>
        <b/>
        <sz val="11"/>
        <rFont val="Arial"/>
        <family val="2"/>
      </rPr>
      <t>/</t>
    </r>
    <r>
      <rPr>
        <b/>
        <sz val="11"/>
        <rFont val="宋体"/>
        <family val="3"/>
        <charset val="134"/>
      </rPr>
      <t>平方米）</t>
    </r>
    <phoneticPr fontId="3" type="noConversion"/>
  </si>
  <si>
    <t>二手房</t>
    <phoneticPr fontId="32" type="noConversion"/>
  </si>
  <si>
    <t>二手房</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</si>
</sst>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9" fillId="0" borderId="0" xfId="0" applyFont="1" applyBorder="1" applyAlignment="1">
      <alignment horizontal="center" vertical="center"/>
    </xf>
    <xf numFmtId="0" fontId="113" fillId="0" borderId="0" xfId="0" applyFont="1" applyAlignment="1"/>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13" xfId="0" applyFont="1" applyBorder="1" applyAlignment="1">
      <alignment horizontal="center" vertical="center"/>
    </xf>
    <xf numFmtId="0" fontId="113" fillId="0" borderId="1" xfId="0"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新疆维吾尔自治区塔城市新城区伊宁路1-5层部分办公用房房地产市场价值预评估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康正预评字2017-1-1080号</v>
      </c>
    </row>
    <row r="6" spans="1:2" s="1592" customFormat="1" ht="15" thickTop="1">
      <c r="A6" s="1590" t="s">
        <v>1221</v>
      </c>
      <c r="B6" s="1591" t="str">
        <f>'预评函-1'!A4</f>
        <v>受贵公司委托，我公司对新疆维吾尔自治区塔城市新城区伊宁路1-5层部分办公用房房地产市场价值进行了预评估。</v>
      </c>
    </row>
    <row r="7" spans="1:2" s="1595" customFormat="1">
      <c r="A7" s="1593" t="s">
        <v>1261</v>
      </c>
      <c r="B7" s="1594" t="str">
        <f>'预评函-1'!A7</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2017年11月30日（评估专业人员实地查勘之日）</v>
      </c>
    </row>
    <row r="13" spans="1:2" s="1595" customFormat="1">
      <c r="A13" s="1593" t="s">
        <v>1224</v>
      </c>
      <c r="B13" s="1594" t="str">
        <f>'预评函-1'!A18</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t="e">
        <f ca="1">'预评函-2'!D5</f>
        <v>#N/A</v>
      </c>
    </row>
    <row r="21" spans="1:2" s="1595" customFormat="1">
      <c r="A21" s="1593" t="s">
        <v>1232</v>
      </c>
      <c r="B21" s="1594" t="e">
        <f ca="1">'预评函-2'!D7</f>
        <v>#N/A</v>
      </c>
    </row>
    <row r="22" spans="1:2" s="1595" customFormat="1">
      <c r="A22" s="1593" t="s">
        <v>1233</v>
      </c>
      <c r="B22" s="1594" t="e">
        <f ca="1">'预评函-2'!D6</f>
        <v>#N/A</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t="e">
        <f ca="1">'预评函-2'!D13</f>
        <v>#N/A</v>
      </c>
    </row>
    <row r="31" spans="1:2" s="1595" customFormat="1">
      <c r="A31" s="1593" t="s">
        <v>1271</v>
      </c>
      <c r="B31" s="1594" t="e">
        <f ca="1">'预评函-2'!D15</f>
        <v>#N/A</v>
      </c>
    </row>
    <row r="32" spans="1:2" s="1595" customFormat="1">
      <c r="A32" s="1593" t="s">
        <v>1238</v>
      </c>
      <c r="B32" s="1594" t="e">
        <f ca="1">'预评函-2'!D14</f>
        <v>#N/A</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新疆维吾尔自治区塔城市新城区伊宁路1-5层部分办公用房房地产</v>
      </c>
    </row>
    <row r="42" spans="1:2" s="1595" customFormat="1">
      <c r="A42" s="1593" t="s">
        <v>1285</v>
      </c>
      <c r="B42" s="1594" t="str">
        <f>'预评函-3'!B2</f>
        <v>建筑面积</v>
      </c>
    </row>
    <row r="43" spans="1:2" s="1595" customFormat="1">
      <c r="A43" s="1593" t="s">
        <v>1286</v>
      </c>
      <c r="B43" s="1594">
        <f>'预评函-3'!B4</f>
        <v>2282.61</v>
      </c>
    </row>
    <row r="44" spans="1:2" s="1595" customFormat="1">
      <c r="A44" s="1593" t="s">
        <v>1270</v>
      </c>
      <c r="B44" s="1594" t="str">
        <f>'预评函-3'!C2</f>
        <v>(分摊)土地面积</v>
      </c>
    </row>
    <row r="45" spans="1:2" s="1595" customFormat="1">
      <c r="A45" s="1593" t="s">
        <v>1242</v>
      </c>
      <c r="B45" s="1594">
        <f>'预评函-3'!C4</f>
        <v>602</v>
      </c>
    </row>
    <row r="46" spans="1:2" s="1595" customFormat="1">
      <c r="A46" s="1593" t="s">
        <v>1268</v>
      </c>
      <c r="B46" s="1594" t="str">
        <f>'预评函-3'!D2</f>
        <v>出让国有建设用地使用权价值</v>
      </c>
    </row>
    <row r="47" spans="1:2" s="1595" customFormat="1">
      <c r="A47" s="1593" t="s">
        <v>1243</v>
      </c>
      <c r="B47" s="1594" t="e">
        <f ca="1">'预评函-3'!D4</f>
        <v>#N/A</v>
      </c>
    </row>
    <row r="48" spans="1:2" s="1595" customFormat="1">
      <c r="A48" s="1593" t="s">
        <v>1244</v>
      </c>
      <c r="B48" s="1594" t="e">
        <f ca="1">'预评函-3'!E4</f>
        <v>#N/A</v>
      </c>
    </row>
    <row r="49" spans="1:2" s="1595" customFormat="1">
      <c r="A49" s="1593" t="s">
        <v>1245</v>
      </c>
      <c r="B49" s="1594" t="e">
        <f ca="1">'预评函-3'!D5</f>
        <v>#N/A</v>
      </c>
    </row>
    <row r="50" spans="1:2" s="1595" customFormat="1">
      <c r="A50" s="1593" t="s">
        <v>1269</v>
      </c>
      <c r="B50" s="1594" t="str">
        <f>'预评函-3'!F2</f>
        <v>在建建筑物价值</v>
      </c>
    </row>
    <row r="51" spans="1:2" s="1595" customFormat="1">
      <c r="A51" s="1593" t="s">
        <v>1246</v>
      </c>
      <c r="B51" s="1594" t="e">
        <f ca="1">'预评函-3'!F4</f>
        <v>#N/A</v>
      </c>
    </row>
    <row r="52" spans="1:2" s="1595" customFormat="1">
      <c r="A52" s="1593" t="s">
        <v>1247</v>
      </c>
      <c r="B52" s="1594" t="e">
        <f ca="1">'预评函-3'!G4</f>
        <v>#N/A</v>
      </c>
    </row>
    <row r="53" spans="1:2" s="1595" customFormat="1">
      <c r="A53" s="1593" t="s">
        <v>1275</v>
      </c>
      <c r="B53" s="1594" t="e">
        <f ca="1">'预评函-3'!F5</f>
        <v>#N/A</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6" sqref="X1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3273</v>
      </c>
      <c r="C11" s="2017" t="s">
        <v>766</v>
      </c>
    </row>
    <row r="12" spans="1:23">
      <c r="A12" s="2016" t="s">
        <v>1750</v>
      </c>
      <c r="B12" s="2016" t="s">
        <v>3274</v>
      </c>
      <c r="C12" s="2017" t="s">
        <v>767</v>
      </c>
    </row>
    <row r="13" spans="1:23">
      <c r="A13" s="2016" t="s">
        <v>1751</v>
      </c>
      <c r="B13" s="2016" t="s">
        <v>3121</v>
      </c>
      <c r="C13" s="2017" t="s">
        <v>768</v>
      </c>
    </row>
    <row r="14" spans="1:23">
      <c r="A14" s="2016" t="s">
        <v>1752</v>
      </c>
      <c r="B14" s="2016" t="s">
        <v>3122</v>
      </c>
      <c r="C14" s="2018" t="s">
        <v>16</v>
      </c>
    </row>
    <row r="15" spans="1:23">
      <c r="A15" s="2016" t="s">
        <v>1753</v>
      </c>
      <c r="B15" s="2016" t="s">
        <v>3125</v>
      </c>
      <c r="C15" s="2017"/>
    </row>
    <row r="16" spans="1:23">
      <c r="A16" s="2016" t="s">
        <v>1754</v>
      </c>
      <c r="B16" s="2016" t="s">
        <v>3126</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塔城市新城区伊宁路1-5层部分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5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59"/>
      <c r="B54" s="2024" t="s">
        <v>863</v>
      </c>
      <c r="C54" s="2021" t="s">
        <v>1278</v>
      </c>
    </row>
    <row r="55" spans="1:4">
      <c r="A55" s="3059"/>
      <c r="B55" s="2024" t="s">
        <v>864</v>
      </c>
      <c r="C55" s="2021" t="s">
        <v>1279</v>
      </c>
    </row>
    <row r="56" spans="1:4">
      <c r="A56" s="3059"/>
      <c r="B56" s="2024" t="s">
        <v>865</v>
      </c>
      <c r="C56" s="2021" t="s">
        <v>1283</v>
      </c>
    </row>
    <row r="57" spans="1:4">
      <c r="A57" s="3059"/>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68" t="str">
        <f>IF(B10="北京市","北京市",C10)&amp;F10&amp;IF('结果表（商业）'!G1="在建","出让国有建设用地使用权及在建建筑物",IF('结果表（商业）'!G1="土地","出让国有建设用地使用权",))&amp;B9&amp;"预评估"</f>
        <v>新疆维吾尔自治区塔城市新城区伊宁路1-5层部分办公用房房地产市场价值预评估</v>
      </c>
      <c r="C1" s="3069"/>
      <c r="D1" s="3069"/>
      <c r="E1" s="3069"/>
      <c r="F1" s="3069"/>
      <c r="G1" s="3069"/>
      <c r="H1" s="3069"/>
      <c r="I1" s="3070"/>
      <c r="J1" s="2028"/>
      <c r="K1" s="2029"/>
      <c r="L1" s="2030"/>
      <c r="M1" s="2030"/>
      <c r="N1" s="2031"/>
      <c r="O1" s="2032"/>
      <c r="P1" s="2031"/>
      <c r="Q1" s="2031"/>
      <c r="R1" s="2031"/>
      <c r="S1" s="2033" t="str">
        <f>IF(B10="北京市","北京市",C10)&amp;F10&amp;IF('结果表（商业）'!G1="在建","出让国有建设用地使用权及在建建筑物房地产抵押价值",IF('结果表（商业）'!G1="土地","出让国有建设用地使用权抵押价值",B9))</f>
        <v>新疆维吾尔自治区塔城市新城区伊宁路1-5层部分办公用房房地产市场价值</v>
      </c>
    </row>
    <row r="2" spans="1:19" ht="18" customHeight="1">
      <c r="A2" s="2028" t="s">
        <v>1766</v>
      </c>
      <c r="B2" s="1040" t="s">
        <v>3275</v>
      </c>
      <c r="C2" s="2035"/>
      <c r="D2" s="2028"/>
      <c r="E2" s="2036"/>
      <c r="F2" s="2036"/>
      <c r="G2" s="2028"/>
      <c r="H2" s="2028"/>
      <c r="I2" s="2028"/>
      <c r="J2" s="2028"/>
      <c r="K2" s="2029"/>
      <c r="L2" s="2030"/>
      <c r="M2" s="2030"/>
      <c r="N2" s="2031"/>
      <c r="O2" s="2032"/>
      <c r="P2" s="2031"/>
      <c r="Q2" s="2031"/>
      <c r="R2" s="2031"/>
      <c r="S2" s="2033" t="str">
        <f>IF(B10="北京市","北京市",C10)&amp;F10&amp;IF('结果表（商业）'!G1="在建","出让国有建设用地使用权及在建建筑物房地产",IF('结果表（商业）'!G1="土地","出让国有建设用地使用权","房地产"))</f>
        <v>新疆维吾尔自治区塔城市新城区伊宁路1-5层部分办公用房房地产</v>
      </c>
    </row>
    <row r="3" spans="1:19" ht="18" customHeight="1">
      <c r="A3" s="2037" t="s">
        <v>1767</v>
      </c>
      <c r="B3" s="2038">
        <v>43069</v>
      </c>
      <c r="C3" s="2039" t="s">
        <v>1768</v>
      </c>
      <c r="D3" s="2038">
        <f>B3</f>
        <v>43069</v>
      </c>
      <c r="E3" s="2028"/>
      <c r="F3" s="2028"/>
      <c r="G3" s="2028"/>
      <c r="H3" s="2028"/>
      <c r="I3" s="2028"/>
      <c r="J3" s="2028"/>
      <c r="K3" s="2029"/>
      <c r="L3" s="2030"/>
      <c r="M3" s="2030"/>
      <c r="N3" s="2031"/>
      <c r="O3" s="2032"/>
      <c r="P3" s="2031"/>
      <c r="Q3" s="2031"/>
      <c r="R3" s="2031"/>
      <c r="S3" s="2033"/>
    </row>
    <row r="4" spans="1:19" ht="18" customHeight="1" thickBot="1">
      <c r="A4" s="2040" t="s">
        <v>1769</v>
      </c>
      <c r="B4" s="2041" t="s">
        <v>3024</v>
      </c>
      <c r="C4" s="1038">
        <f ca="1">SUMIF(注册房地产估价师,B4,估价师及机构信息!B3:B24)</f>
        <v>1120140022</v>
      </c>
      <c r="D4" s="2041" t="s">
        <v>3025</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4" t="s">
        <v>3101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3102</v>
      </c>
      <c r="C8" s="2057"/>
      <c r="D8" s="3071" t="s">
        <v>1774</v>
      </c>
      <c r="E8" s="2058"/>
      <c r="F8" s="2059"/>
      <c r="G8" s="2028"/>
      <c r="H8" s="2028"/>
      <c r="I8" s="2028"/>
      <c r="J8" s="2044"/>
      <c r="K8" s="2045"/>
      <c r="L8" s="2030"/>
      <c r="M8" s="2030"/>
      <c r="N8" s="2031"/>
      <c r="O8" s="2032"/>
      <c r="P8" s="2031"/>
      <c r="Q8" s="2031"/>
      <c r="R8" s="2031"/>
    </row>
    <row r="9" spans="1:19" ht="18" customHeight="1" thickBot="1">
      <c r="A9" s="2042" t="s">
        <v>1775</v>
      </c>
      <c r="B9" s="2060" t="s">
        <v>3103</v>
      </c>
      <c r="C9" s="2061"/>
      <c r="D9" s="3072"/>
      <c r="E9" s="2060" t="s">
        <v>70</v>
      </c>
      <c r="F9" s="2062"/>
      <c r="G9" s="2063"/>
      <c r="H9" s="2063"/>
      <c r="I9" s="2063"/>
      <c r="J9" s="2044"/>
      <c r="K9" s="2055"/>
      <c r="L9" s="2030"/>
      <c r="M9" s="2030"/>
      <c r="N9" s="2031"/>
      <c r="O9" s="2032"/>
      <c r="P9" s="2031"/>
      <c r="Q9" s="2031"/>
      <c r="R9" s="2031"/>
    </row>
    <row r="10" spans="1:19" ht="18" customHeight="1" thickTop="1">
      <c r="A10" s="2064" t="s">
        <v>1776</v>
      </c>
      <c r="B10" s="2065" t="s">
        <v>3026</v>
      </c>
      <c r="C10" s="2975" t="s">
        <v>3104</v>
      </c>
      <c r="D10" s="2048"/>
      <c r="E10" s="2066" t="s">
        <v>1777</v>
      </c>
      <c r="F10" s="2977" t="s">
        <v>3276</v>
      </c>
      <c r="G10" s="2067"/>
      <c r="H10" s="2068"/>
      <c r="I10" s="2048"/>
      <c r="J10" s="2044"/>
      <c r="K10" s="2055"/>
      <c r="L10" s="2030"/>
      <c r="M10" s="2030"/>
      <c r="N10" s="2031"/>
      <c r="O10" s="2032"/>
      <c r="P10" s="2031"/>
      <c r="Q10" s="2031"/>
      <c r="R10" s="2031"/>
    </row>
    <row r="11" spans="1:19" ht="18" customHeight="1">
      <c r="A11" s="2069" t="s">
        <v>1778</v>
      </c>
      <c r="B11" s="2070" t="s">
        <v>3027</v>
      </c>
      <c r="C11" s="2976" t="s">
        <v>3277</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3028</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51502</v>
      </c>
      <c r="F13" s="2078"/>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23.1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78" t="s">
        <v>3105</v>
      </c>
      <c r="C16" s="3079"/>
      <c r="D16" s="3080"/>
      <c r="E16" s="2978" t="s">
        <v>3106</v>
      </c>
      <c r="F16" s="3081" t="s">
        <v>3278</v>
      </c>
      <c r="G16" s="3082"/>
      <c r="H16" s="3082"/>
      <c r="I16" s="3083"/>
      <c r="J16" s="2031"/>
      <c r="K16" s="2081"/>
      <c r="L16" s="2082"/>
      <c r="M16" s="2082"/>
      <c r="N16" s="2083"/>
      <c r="O16" s="2082"/>
      <c r="P16" s="2083"/>
      <c r="Q16" s="2031"/>
      <c r="R16" s="2031"/>
    </row>
    <row r="17" spans="1:22" ht="18" customHeight="1">
      <c r="A17" s="2084" t="s">
        <v>1791</v>
      </c>
      <c r="B17" s="2037" t="s">
        <v>1792</v>
      </c>
      <c r="C17" s="1055">
        <f>'数据-汇总表'!E3</f>
        <v>2282.61</v>
      </c>
      <c r="D17" s="2085" t="s">
        <v>1793</v>
      </c>
      <c r="E17" s="3084" t="s">
        <v>3280</v>
      </c>
      <c r="F17" s="3085"/>
      <c r="G17" s="3085"/>
      <c r="H17" s="3085"/>
      <c r="I17" s="3086"/>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602</v>
      </c>
      <c r="D18" s="2088" t="s">
        <v>1793</v>
      </c>
      <c r="E18" s="3087" t="s">
        <v>3279</v>
      </c>
      <c r="F18" s="3088"/>
      <c r="G18" s="3088"/>
      <c r="H18" s="3088"/>
      <c r="I18" s="3089"/>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3107</v>
      </c>
      <c r="D19" s="2090" t="s">
        <v>1798</v>
      </c>
      <c r="E19" s="2091" t="s">
        <v>3107</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74" t="s">
        <v>1800</v>
      </c>
      <c r="C20" s="3075"/>
      <c r="D20" s="3076" t="s">
        <v>1801</v>
      </c>
      <c r="E20" s="3077"/>
      <c r="F20" s="2095" t="s">
        <v>1802</v>
      </c>
      <c r="G20" s="2044"/>
      <c r="H20" s="2044"/>
      <c r="I20" s="2044"/>
      <c r="J20" s="2044"/>
      <c r="K20" s="3073"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73"/>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61" t="s">
        <v>1814</v>
      </c>
      <c r="B27" s="2064" t="s">
        <v>1815</v>
      </c>
      <c r="C27" s="2117" t="s">
        <v>3281</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61"/>
      <c r="B28" s="2037" t="s">
        <v>1816</v>
      </c>
      <c r="C28" s="2119" t="s">
        <v>3108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61"/>
      <c r="B29" s="2037" t="s">
        <v>1817</v>
      </c>
      <c r="C29" s="2122" t="s">
        <v>3107</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62"/>
      <c r="B30" s="2037" t="s">
        <v>1818</v>
      </c>
      <c r="C30" s="3063"/>
      <c r="D30" s="306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5" t="s">
        <v>1819</v>
      </c>
      <c r="B31" s="2124" t="s">
        <v>3109</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66"/>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66"/>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3110</v>
      </c>
      <c r="C34" s="2131" t="s">
        <v>3111</v>
      </c>
      <c r="D34" s="2131" t="s">
        <v>3112</v>
      </c>
      <c r="E34" s="2131" t="s">
        <v>3113</v>
      </c>
      <c r="F34" s="2131" t="s">
        <v>3114</v>
      </c>
      <c r="G34" s="2131" t="s">
        <v>3282</v>
      </c>
      <c r="H34" s="2131" t="s">
        <v>3283</v>
      </c>
      <c r="I34" s="2044"/>
      <c r="J34" s="2044"/>
      <c r="K34" s="1797">
        <f>COUNTIF(B34:H34,"——")</f>
        <v>0</v>
      </c>
      <c r="L34" s="2073" t="s">
        <v>1821</v>
      </c>
      <c r="M34" s="2073" t="s">
        <v>1822</v>
      </c>
      <c r="N34" s="2073" t="s">
        <v>1823</v>
      </c>
      <c r="O34" s="2073" t="s">
        <v>1824</v>
      </c>
      <c r="P34" s="2073" t="s">
        <v>1825</v>
      </c>
      <c r="Q34" s="2073" t="s">
        <v>1826</v>
      </c>
      <c r="R34" s="2073" t="s">
        <v>1827</v>
      </c>
      <c r="S34" s="3060" t="s">
        <v>1828</v>
      </c>
      <c r="T34" s="2132" t="str">
        <f>NUMBERSTRING(7-K34,1)&amp;"通"</f>
        <v>七通</v>
      </c>
      <c r="U34" s="2031"/>
      <c r="V34" s="2031"/>
    </row>
    <row r="35" spans="1:22" ht="18" customHeight="1">
      <c r="A35" s="2133"/>
      <c r="B35" s="3067" t="s">
        <v>1829</v>
      </c>
      <c r="C35" s="3067"/>
      <c r="D35" s="3067"/>
      <c r="E35" s="3067"/>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0"/>
      <c r="T35" s="48" t="str">
        <f>IF(T34="一通",L35,IF(T34="二通",M35,IF(T34="三通",N35,IF(T34="四通",O35,IF(T34="五通",P35,IF(T34="六通",Q35,R35))))))</f>
        <v>通路、通电、通讯、通上水、通下水、通热、燃气</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hidden="1" customWidth="1"/>
    <col min="10" max="10" width="9.5" style="2157" hidden="1"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836.16</v>
      </c>
      <c r="B3" s="14">
        <f>IF(C3="否",G5-AT5,G5)</f>
        <v>3170.5</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3170.5</v>
      </c>
      <c r="H5" s="16">
        <f t="shared" ref="H5:AT5" si="0">SUM(H13:H656)</f>
        <v>3170.5</v>
      </c>
      <c r="I5" s="16">
        <f t="shared" si="0"/>
        <v>0</v>
      </c>
      <c r="J5" s="16">
        <f t="shared" si="0"/>
        <v>0</v>
      </c>
      <c r="K5" s="16">
        <f t="shared" si="0"/>
        <v>2682.19</v>
      </c>
      <c r="L5" s="16">
        <f t="shared" si="0"/>
        <v>0</v>
      </c>
      <c r="M5" s="16">
        <f t="shared" si="0"/>
        <v>488.31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2282.61</v>
      </c>
      <c r="BA5" s="18">
        <f t="shared" si="1"/>
        <v>2282.61</v>
      </c>
      <c r="BB5" s="18">
        <f t="shared" si="1"/>
        <v>0</v>
      </c>
      <c r="BC5" s="18">
        <f t="shared" si="1"/>
        <v>2282.61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836.16</v>
      </c>
      <c r="F6" s="16" t="s">
        <v>1</v>
      </c>
      <c r="G6" s="16" t="s">
        <v>2</v>
      </c>
      <c r="H6" s="20">
        <f>SUMIF(I$12:AB$12,"总值",I6:AB6)</f>
        <v>836.16</v>
      </c>
      <c r="I6" s="16">
        <f t="shared" ref="I6:AB6" si="2">ROUND($A$3*I5/$B$3,2)</f>
        <v>0</v>
      </c>
      <c r="J6" s="16">
        <f t="shared" si="2"/>
        <v>0</v>
      </c>
      <c r="K6" s="16">
        <f t="shared" si="2"/>
        <v>707.38</v>
      </c>
      <c r="L6" s="16">
        <f t="shared" si="2"/>
        <v>0</v>
      </c>
      <c r="M6" s="16">
        <f t="shared" si="2"/>
        <v>128.78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602</v>
      </c>
      <c r="AZ6" s="16" t="s">
        <v>3</v>
      </c>
      <c r="BA6" s="16">
        <f>ROUND($AY$6*BA5/$AZ$5,2)</f>
        <v>602</v>
      </c>
      <c r="BB6" s="16">
        <f>ROUND($AY$6*BB5/$AZ$5,2)</f>
        <v>0</v>
      </c>
      <c r="BC6" s="16">
        <f t="shared" ref="BC6:BH6" si="4">ROUND($AY$6*BC5/$AZ$5,2)</f>
        <v>602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c r="J9" s="982"/>
      <c r="K9" s="2189" t="s">
        <v>3115</v>
      </c>
      <c r="L9" s="982"/>
      <c r="M9" s="2189" t="s">
        <v>3288</v>
      </c>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c r="J10" s="982"/>
      <c r="K10" s="2195" t="s">
        <v>27</v>
      </c>
      <c r="L10" s="982"/>
      <c r="M10" s="2195" t="s">
        <v>27</v>
      </c>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f>I9</f>
        <v>0</v>
      </c>
      <c r="BC10" s="29" t="str">
        <f>K9</f>
        <v>地上</v>
      </c>
      <c r="BD10" s="29" t="str">
        <f>M9</f>
        <v>地下</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c r="J11" s="2201"/>
      <c r="K11" s="2200" t="s">
        <v>3116</v>
      </c>
      <c r="L11" s="2201"/>
      <c r="M11" s="2200" t="s">
        <v>3289</v>
      </c>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f>I10</f>
        <v>0</v>
      </c>
      <c r="BC11" s="2185" t="str">
        <f>K10</f>
        <v>办公</v>
      </c>
      <c r="BD11" s="2185" t="str">
        <f>M10</f>
        <v>办公</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f>I11</f>
        <v>0</v>
      </c>
      <c r="BC12" s="2210" t="str">
        <f>K11</f>
        <v>办公楼</v>
      </c>
      <c r="BD12" s="2210" t="str">
        <f>M11</f>
        <v>戊类库房</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3284</v>
      </c>
      <c r="D13" s="2944" t="s">
        <v>3021</v>
      </c>
      <c r="E13" s="16">
        <f>IF($C$3="是",ROUND($A$3*G13/$B$3,2),ROUND($A$3*(G13-AT13)/$B$3,2))</f>
        <v>26.37</v>
      </c>
      <c r="F13" s="32"/>
      <c r="G13" s="33">
        <f>H13+AC13+AT13</f>
        <v>100</v>
      </c>
      <c r="H13" s="20">
        <f>SUMIF(I$12:AB$12,"总值",I13:AB13)</f>
        <v>100</v>
      </c>
      <c r="I13" s="2940"/>
      <c r="J13" s="2211"/>
      <c r="K13" s="2211">
        <v>100</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1层办公</v>
      </c>
      <c r="AY13" s="1808">
        <f>ROUND($AY$6*AZ13/$AZ$5,2)</f>
        <v>26.37</v>
      </c>
      <c r="AZ13" s="16">
        <f>BA13+BL13</f>
        <v>100</v>
      </c>
      <c r="BA13" s="16">
        <f>SUM(BB13:BK13)</f>
        <v>100</v>
      </c>
      <c r="BB13" s="16">
        <f>IF($D13="是",I13-J13,0)</f>
        <v>0</v>
      </c>
      <c r="BC13" s="16">
        <f>IF($D13="是",K13-L13,0)</f>
        <v>100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3285</v>
      </c>
      <c r="D14" s="2944" t="s">
        <v>3021</v>
      </c>
      <c r="E14" s="16">
        <f>IF($C$3="是",ROUND($A$3*G14/$B$3,2),ROUND($A$3*(G14-AT14)/$B$3,2))</f>
        <v>437.53</v>
      </c>
      <c r="F14" s="32"/>
      <c r="G14" s="33">
        <f>H14+AC14+AT14</f>
        <v>1658.99</v>
      </c>
      <c r="H14" s="20">
        <f>SUMIF(I$12:AB$12,"总值",I14:AB14)</f>
        <v>1658.99</v>
      </c>
      <c r="I14" s="2940"/>
      <c r="J14" s="2211"/>
      <c r="K14" s="2211">
        <v>1658.99</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2-4层办公</v>
      </c>
      <c r="AY14" s="1808">
        <f>ROUND($AY$6*AZ14/$AZ$5,2)</f>
        <v>437.53</v>
      </c>
      <c r="AZ14" s="16">
        <f>BA14+BL14</f>
        <v>1658.99</v>
      </c>
      <c r="BA14" s="16">
        <f>SUM(BB14:BK14)</f>
        <v>1658.99</v>
      </c>
      <c r="BB14" s="16">
        <f>IF($D14="是",I14-J14,0)</f>
        <v>0</v>
      </c>
      <c r="BC14" s="16">
        <f>IF($D14="是",K14-L14,0)</f>
        <v>1658.99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3286</v>
      </c>
      <c r="D15" s="2944" t="s">
        <v>3021</v>
      </c>
      <c r="E15" s="16">
        <f>IF($C$3="是",ROUND($A$3*G15/$B$3,2),ROUND($A$3*(G15-AT15)/$B$3,2))</f>
        <v>138.09</v>
      </c>
      <c r="F15" s="32"/>
      <c r="G15" s="33">
        <f>H15+AC15+AT15</f>
        <v>523.62</v>
      </c>
      <c r="H15" s="20">
        <f>SUMIF(I$12:AB$12,"总值",I15:AB15)</f>
        <v>523.62</v>
      </c>
      <c r="I15" s="2940"/>
      <c r="J15" s="2211"/>
      <c r="K15" s="2211">
        <v>523.62</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5层办公</v>
      </c>
      <c r="AY15" s="1808">
        <f>ROUND($AY$6*AZ15/$AZ$5,2)</f>
        <v>138.1</v>
      </c>
      <c r="AZ15" s="16">
        <f>BA15+BL15</f>
        <v>523.62</v>
      </c>
      <c r="BA15" s="16">
        <f>SUM(BB15:BK15)</f>
        <v>523.62</v>
      </c>
      <c r="BB15" s="16">
        <f>IF($D15="是",I15-J15,0)</f>
        <v>0</v>
      </c>
      <c r="BC15" s="16">
        <f>IF($D15="是",K15-L15,0)</f>
        <v>523.62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9" t="s">
        <v>3287</v>
      </c>
      <c r="D16" s="2944" t="s">
        <v>3107</v>
      </c>
      <c r="E16" s="16">
        <f>IF($C$3="是",ROUND($A$3*G16/$B$3,2),ROUND($A$3*(G16-AT16)/$B$3,2))</f>
        <v>234.16</v>
      </c>
      <c r="F16" s="32"/>
      <c r="G16" s="33">
        <f>H16+AC16+AT16</f>
        <v>887.89</v>
      </c>
      <c r="H16" s="20">
        <f>SUMIF(I$12:AB$12,"总值",I16:AB16)</f>
        <v>887.89</v>
      </c>
      <c r="I16" s="2940"/>
      <c r="J16" s="2211"/>
      <c r="K16" s="2211">
        <f>499.58-100</f>
        <v>399.58</v>
      </c>
      <c r="L16" s="2211"/>
      <c r="M16" s="2211">
        <v>488.31</v>
      </c>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不在范围</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9"/>
      <c r="D17" s="2944" t="s">
        <v>3022</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3022</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3022</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3022</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3022</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3022</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3022</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3022</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3022</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3022</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3022</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3022</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3022</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3022</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3022</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3022</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3022</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101" t="s">
        <v>1925</v>
      </c>
      <c r="B2" s="3101"/>
      <c r="C2" s="3101"/>
      <c r="D2" s="968" t="s">
        <v>1901</v>
      </c>
      <c r="E2" s="2224" t="s">
        <v>1902</v>
      </c>
      <c r="F2" s="1393"/>
      <c r="G2" s="2225"/>
      <c r="H2" s="2226"/>
      <c r="I2" s="2227" t="s">
        <v>1926</v>
      </c>
      <c r="J2" s="1393"/>
      <c r="K2" s="1393"/>
      <c r="L2" s="1393"/>
      <c r="M2" s="1393"/>
      <c r="N2" s="1428"/>
      <c r="O2" s="1393"/>
      <c r="P2" s="1393"/>
    </row>
    <row r="3" spans="1:16" ht="15.75" thickBot="1">
      <c r="A3" s="3102" t="s">
        <v>1899</v>
      </c>
      <c r="B3" s="3102"/>
      <c r="C3" s="3102"/>
      <c r="D3" s="46">
        <f>'数据-基础表'!AY6</f>
        <v>602</v>
      </c>
      <c r="E3" s="46">
        <f>'数据-基础表'!AZ5</f>
        <v>2282.61</v>
      </c>
      <c r="F3" s="1393"/>
      <c r="G3" s="1400"/>
      <c r="H3" s="1248" t="s">
        <v>1900</v>
      </c>
      <c r="I3" s="55">
        <f>ROUND('数据-基础表'!B3/'数据-基础表'!A3,2)</f>
        <v>3.79</v>
      </c>
      <c r="J3" s="1393"/>
      <c r="K3" s="1393"/>
      <c r="L3" s="1393"/>
      <c r="M3" s="1393"/>
      <c r="N3" s="1428"/>
      <c r="O3" s="1393"/>
      <c r="P3" s="1393"/>
    </row>
    <row r="4" spans="1:16" ht="15">
      <c r="A4" s="3103"/>
      <c r="B4" s="3104"/>
      <c r="C4" s="3105"/>
      <c r="D4" s="2228" t="s">
        <v>1901</v>
      </c>
      <c r="E4" s="2229" t="s">
        <v>1902</v>
      </c>
      <c r="F4" s="1393"/>
      <c r="G4" s="2230" t="s">
        <v>1927</v>
      </c>
      <c r="H4" s="1248" t="s">
        <v>1907</v>
      </c>
      <c r="I4" s="55">
        <f>ROUND(SUMIF('数据-基础表'!I9:AS9,"地上",'数据-基础表'!I5:AS5)/'数据-基础表'!A3,2)</f>
        <v>3.21</v>
      </c>
      <c r="J4" s="1393"/>
      <c r="K4" s="1393"/>
      <c r="L4" s="1393"/>
      <c r="M4" s="1393"/>
      <c r="N4" s="1428"/>
      <c r="O4" s="1393"/>
      <c r="P4" s="1393"/>
    </row>
    <row r="5" spans="1:16">
      <c r="A5" s="47" t="s">
        <v>1903</v>
      </c>
      <c r="B5" s="3106" t="s">
        <v>1904</v>
      </c>
      <c r="C5" s="3106"/>
      <c r="D5" s="48">
        <f>ROUND($D$3*E5/$E$3,2)</f>
        <v>0</v>
      </c>
      <c r="E5" s="49">
        <f>SUMIF('数据-基础表'!$11:$11,"住宅",'数据-基础表'!$5:$5)</f>
        <v>0</v>
      </c>
      <c r="F5" s="1393"/>
      <c r="G5" s="1400"/>
      <c r="H5" s="1248" t="s">
        <v>1900</v>
      </c>
      <c r="I5" s="55">
        <f>ROUND(E31/D31,2)</f>
        <v>3.79</v>
      </c>
      <c r="J5" s="1393"/>
      <c r="K5" s="1393"/>
      <c r="L5" s="1393"/>
      <c r="M5" s="1393"/>
      <c r="N5" s="1393"/>
      <c r="O5" s="1393"/>
      <c r="P5" s="1393"/>
    </row>
    <row r="6" spans="1:16" ht="15" thickBot="1">
      <c r="A6" s="2231"/>
      <c r="B6" s="3106" t="s">
        <v>1905</v>
      </c>
      <c r="C6" s="3106"/>
      <c r="D6" s="48">
        <f>ROUND($D$3*E6/$E$3,2)</f>
        <v>602</v>
      </c>
      <c r="E6" s="49">
        <f>E3-E5</f>
        <v>2282.61</v>
      </c>
      <c r="F6" s="1393"/>
      <c r="G6" s="2232" t="s">
        <v>1906</v>
      </c>
      <c r="H6" s="1400" t="s">
        <v>1907</v>
      </c>
      <c r="I6" s="940">
        <f>ROUND(F31/D31,2)</f>
        <v>3.79</v>
      </c>
      <c r="J6" s="1393"/>
      <c r="K6" s="1393"/>
      <c r="L6" s="1393"/>
      <c r="M6" s="1393"/>
      <c r="N6" s="1393"/>
      <c r="O6" s="1393"/>
      <c r="P6" s="1393"/>
    </row>
    <row r="7" spans="1:16" ht="15">
      <c r="A7" s="3098"/>
      <c r="B7" s="3099"/>
      <c r="C7" s="3100"/>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602</v>
      </c>
      <c r="E8" s="51">
        <f>SUMIF('数据-基础表'!BB10:BK10,"地上",'数据-基础表'!BB5:BK5)</f>
        <v>2282.61</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602</v>
      </c>
      <c r="E16" s="53">
        <f>SUM(E8:E15)</f>
        <v>2282.61</v>
      </c>
      <c r="F16" s="1393"/>
      <c r="G16" s="2234"/>
      <c r="H16" s="2237" t="s">
        <v>1929</v>
      </c>
      <c r="I16" s="2238"/>
      <c r="J16" s="1393"/>
      <c r="K16" s="3095" t="s">
        <v>1929</v>
      </c>
      <c r="L16" s="3096"/>
      <c r="M16" s="3096"/>
      <c r="N16" s="3096"/>
      <c r="O16" s="3096"/>
      <c r="P16" s="3097"/>
    </row>
    <row r="17" spans="1:19" ht="15">
      <c r="A17" s="2239" t="s">
        <v>1930</v>
      </c>
      <c r="B17" s="2240" t="s">
        <v>1931</v>
      </c>
      <c r="C17" s="2241" t="s">
        <v>1932</v>
      </c>
      <c r="D17" s="2242" t="s">
        <v>1920</v>
      </c>
      <c r="E17" s="2243" t="s">
        <v>1921</v>
      </c>
      <c r="F17" s="2244"/>
      <c r="G17" s="2245"/>
      <c r="H17" s="2246" t="s">
        <v>1933</v>
      </c>
      <c r="I17" s="2247" t="s">
        <v>1918</v>
      </c>
      <c r="J17" s="1393"/>
      <c r="K17" s="3092" t="s">
        <v>1934</v>
      </c>
      <c r="L17" s="3093"/>
      <c r="M17" s="3094"/>
      <c r="N17" s="3092" t="s">
        <v>1935</v>
      </c>
      <c r="O17" s="3093"/>
      <c r="P17" s="3094"/>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3290</v>
      </c>
      <c r="D19" s="48">
        <f>ROUND($D$3*E19/$E$3,2)</f>
        <v>602</v>
      </c>
      <c r="E19" s="56">
        <f t="shared" ref="E19:E26" si="1">SUM(F19:G19)</f>
        <v>2282.61</v>
      </c>
      <c r="F19" s="57">
        <f>'数据-基础表'!K13+'数据-基础表'!K14+'数据-基础表'!K15</f>
        <v>2282.61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602</v>
      </c>
      <c r="S19" s="1249">
        <f t="shared" si="5"/>
        <v>2282.61</v>
      </c>
    </row>
    <row r="20" spans="1:19">
      <c r="A20" s="2259"/>
      <c r="B20" s="50" t="s">
        <v>1947</v>
      </c>
      <c r="C20" s="2943"/>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602</v>
      </c>
      <c r="E27" s="1395">
        <f>IF(SUM(E19:E26)='数据-基础表'!BA5,SUM(E19:E26),IF(F27="地上面积有误","面积有误","地下面积有误"))</f>
        <v>2282.61</v>
      </c>
      <c r="F27" s="1394">
        <f>IF(SUM(F19:F26)=E8,SUM(F19:F26),"地上面积有误")</f>
        <v>2282.61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602</v>
      </c>
      <c r="S27" s="1248">
        <f>IF(SUM(S19:S26)=$E$3,SUM(S19:S26),SUM(S19:S26)&amp;"误差"&amp;ROUND(SUM(S19:S26)-E3,2))</f>
        <v>2282.61</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602</v>
      </c>
      <c r="E31" s="728">
        <f>E27+E30</f>
        <v>2282.61</v>
      </c>
      <c r="F31" s="729">
        <f>F27+F30</f>
        <v>2282.61</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C46" sqref="C4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3023</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办公</v>
      </c>
      <c r="B6" s="2303" t="str">
        <f>IF(A6=0,"","经营性")</f>
        <v>经营性</v>
      </c>
      <c r="C6" s="2304" t="s">
        <v>1374</v>
      </c>
      <c r="D6" s="1052">
        <f>SUMIF(项目基本情况!D$12:I$12,C6,项目基本情况!D$14:I$14)</f>
        <v>40</v>
      </c>
      <c r="E6" s="1049">
        <f>IF(B6="","",SUMIF(项目基本情况!D$12:I$12,C6,项目基本情况!D$13:I$13))</f>
        <v>51502</v>
      </c>
      <c r="F6" s="72">
        <f>SUMIF(项目基本情况!D$12:I$12,C6,项目基本情况!D$15:I$15)</f>
        <v>23.1</v>
      </c>
      <c r="G6" s="73">
        <f>IF(ISERROR(ROUND(POWER(1+H6,D6-F6)*(POWER(1+H6,F6)-1)/(POWER(1+H6,D6)-1),3)),0,ROUND(POWER(1+H6,D6-F6)*(POWER(1+H6,F6)-1)/(POWER(1+H6,D6)-1),3))</f>
        <v>0.77100000000000002</v>
      </c>
      <c r="H6" s="801">
        <v>4.4999999999999998E-2</v>
      </c>
      <c r="I6" s="801">
        <v>0.05</v>
      </c>
      <c r="J6" s="74">
        <v>0.08</v>
      </c>
      <c r="K6" s="1252">
        <f>SUMIF('数据-汇总表'!C$19:C$33,A6,'数据-汇总表'!E$19:E$33)</f>
        <v>2282.61</v>
      </c>
      <c r="L6" s="802">
        <v>1800</v>
      </c>
      <c r="M6" s="75">
        <f t="shared" ref="M6:M14" si="0">ROUND(K6*L6/10000,0)</f>
        <v>411</v>
      </c>
      <c r="N6" s="800">
        <f>ROUND((50-(2017-2012))/50,2)</f>
        <v>0.9</v>
      </c>
      <c r="O6" s="75" t="str">
        <f>IF($N$5="成新度","——",ROUND(M6*N6,0))</f>
        <v>——</v>
      </c>
      <c r="P6" s="76" t="str">
        <f>IF($N$5="成新度","——",M6-O6)</f>
        <v>——</v>
      </c>
      <c r="Q6" s="803">
        <v>0.1</v>
      </c>
      <c r="R6" s="77">
        <f ca="1">SUMIF('数据-汇总表'!C$19:C$33,A6,'数据-汇总表'!R$19:R$27)</f>
        <v>602</v>
      </c>
      <c r="S6" s="54">
        <f>IF('数据-汇总表'!$I$17="按面积比例",SUMIF('数据-汇总表'!C$19:C$33,A6,'数据-汇总表'!K$19:K$33),SUMIF('数据-汇总表'!C$19:C$33,A6,'数据-汇总表'!N$19:N$33))</f>
        <v>0</v>
      </c>
      <c r="T6" s="1444">
        <f>ROUND($L$14*S6/10000,0)</f>
        <v>0</v>
      </c>
      <c r="U6" s="78">
        <v>1</v>
      </c>
      <c r="V6" s="79">
        <v>0.02</v>
      </c>
      <c r="W6" s="79">
        <v>0.1</v>
      </c>
      <c r="X6" s="1262"/>
      <c r="Y6" s="80">
        <f>N6</f>
        <v>0.9</v>
      </c>
      <c r="Z6" s="81"/>
      <c r="AA6" s="74"/>
      <c r="AB6" s="74"/>
      <c r="AC6" s="1262"/>
      <c r="AD6" s="82"/>
      <c r="AE6" s="1263">
        <f ca="1">IF(AN6="",0,SUMIF(INDIRECT("'"&amp;AN6&amp;"'"&amp;"!E:E"),$AE$5,INDIRECT("'"&amp;AN6&amp;"'"&amp;"!F:F")))</f>
        <v>23.1</v>
      </c>
      <c r="AF6" s="1806"/>
      <c r="AG6" s="147">
        <f>IF(AF6="",0,AE6-AF6)</f>
        <v>0</v>
      </c>
      <c r="AH6" s="83"/>
      <c r="AI6" s="85">
        <v>365</v>
      </c>
      <c r="AJ6" s="86"/>
      <c r="AK6" s="87">
        <v>1.4999999999999999E-2</v>
      </c>
      <c r="AL6" s="88">
        <v>1.4999999999999999E-2</v>
      </c>
      <c r="AM6" s="89">
        <v>0.01</v>
      </c>
      <c r="AN6" s="2305" t="s">
        <v>3272</v>
      </c>
      <c r="AO6" s="55">
        <f ca="1">SUMIF(INDIRECT("'"&amp;AN6&amp;"'"&amp;"!A:A"),"总价",INDIRECT("'"&amp;AN6&amp;"'"&amp;"!B:B"))</f>
        <v>801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0.77100000000000002</v>
      </c>
      <c r="H16" s="99">
        <f>ROUND(SUMPRODUCT(H6:H13,K6:K13)/SUMPRODUCT((H6:H13&gt;0)*(K6:K13)),3)</f>
        <v>4.4999999999999998E-2</v>
      </c>
      <c r="I16" s="100"/>
      <c r="J16" s="100"/>
      <c r="K16" s="101">
        <f>SUM(K6:K15)</f>
        <v>2282.61</v>
      </c>
      <c r="L16" s="102">
        <f>ROUND(M16*10000/SUM(K6:K14),0)</f>
        <v>1801</v>
      </c>
      <c r="M16" s="102">
        <f>SUM(M6:M14)</f>
        <v>411</v>
      </c>
      <c r="N16" s="103">
        <f>ROUND(SUMPRODUCT(M6:M14,N6:N14)/M16,3)</f>
        <v>0.9</v>
      </c>
      <c r="O16" s="102">
        <f>SUM(O6:O14)</f>
        <v>0</v>
      </c>
      <c r="P16" s="102">
        <f>SUM(P6:P14)</f>
        <v>0</v>
      </c>
      <c r="Q16" s="104">
        <f>ROUND(SUMPRODUCT(Q6:Q13,K6:K13)/SUMPRODUCT((Q6:Q13&gt;0)*(K6:K13)),2)</f>
        <v>0.1</v>
      </c>
      <c r="R16" s="1256">
        <f ca="1">SUM(R6:R13)</f>
        <v>602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1</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100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100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100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4.3499999999999997E-2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7</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7</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7" t="s">
        <v>2070</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27">
      <c r="A3" s="415" t="s">
        <v>2073</v>
      </c>
      <c r="B3" s="1269" t="s">
        <v>2074</v>
      </c>
      <c r="C3" s="2366"/>
      <c r="D3" s="2367"/>
      <c r="E3" s="431" t="s">
        <v>2073</v>
      </c>
      <c r="F3" s="2368" t="s">
        <v>2075</v>
      </c>
      <c r="G3" s="2369"/>
      <c r="H3" s="2364"/>
      <c r="I3" s="2364"/>
      <c r="J3" s="2364"/>
      <c r="K3" s="2364"/>
      <c r="L3" s="2364"/>
      <c r="M3" s="2364"/>
      <c r="N3" s="2364"/>
      <c r="O3" s="2364"/>
      <c r="P3" s="2364"/>
      <c r="Q3" s="2364"/>
      <c r="R3" s="2364"/>
    </row>
    <row r="4" spans="1:29" ht="15">
      <c r="A4" s="431"/>
      <c r="B4" s="1797" t="s">
        <v>2076</v>
      </c>
      <c r="C4" s="2980"/>
      <c r="D4" s="2367"/>
      <c r="E4" s="2370"/>
      <c r="F4" s="42" t="s">
        <v>2077</v>
      </c>
      <c r="G4" s="2371"/>
      <c r="H4" s="2364"/>
      <c r="I4" s="2364"/>
      <c r="J4" s="2364"/>
      <c r="K4" s="2364"/>
      <c r="L4" s="2364"/>
      <c r="M4" s="2364"/>
      <c r="N4" s="2364"/>
      <c r="O4" s="2364"/>
      <c r="P4" s="2364"/>
      <c r="Q4" s="2364"/>
      <c r="R4" s="2364"/>
    </row>
    <row r="5" spans="1:29" ht="15">
      <c r="A5" s="431"/>
      <c r="B5" s="1797" t="s">
        <v>2078</v>
      </c>
      <c r="C5" s="2980" t="s">
        <v>3291</v>
      </c>
      <c r="D5" s="2367"/>
      <c r="E5" s="2370"/>
      <c r="F5" s="1797" t="s">
        <v>2079</v>
      </c>
      <c r="G5" s="2371"/>
      <c r="H5" s="2364"/>
      <c r="I5" s="2364"/>
      <c r="J5" s="2364"/>
      <c r="K5" s="2364"/>
      <c r="L5" s="2364"/>
      <c r="M5" s="2364"/>
      <c r="N5" s="2364"/>
      <c r="O5" s="2364"/>
      <c r="P5" s="2364"/>
      <c r="Q5" s="2364"/>
      <c r="R5" s="2364"/>
    </row>
    <row r="6" spans="1:29" ht="15">
      <c r="A6" s="431"/>
      <c r="B6" s="1797" t="s">
        <v>2080</v>
      </c>
      <c r="C6" s="2981" t="s">
        <v>3292</v>
      </c>
      <c r="D6" s="2367"/>
      <c r="E6" s="2370"/>
      <c r="F6" s="1797" t="s">
        <v>2081</v>
      </c>
      <c r="G6" s="2371"/>
      <c r="H6" s="2364"/>
      <c r="I6" s="2364"/>
      <c r="J6" s="2364"/>
      <c r="K6" s="2364"/>
      <c r="L6" s="2364"/>
      <c r="M6" s="2364"/>
      <c r="N6" s="2364"/>
      <c r="O6" s="2364"/>
      <c r="P6" s="2364"/>
      <c r="Q6" s="2364"/>
      <c r="R6" s="2364"/>
    </row>
    <row r="7" spans="1:29" ht="15.75" thickBot="1">
      <c r="A7" s="431"/>
      <c r="B7" s="1797" t="s">
        <v>2079</v>
      </c>
      <c r="C7" s="2981" t="s">
        <v>3293</v>
      </c>
      <c r="D7" s="2372"/>
      <c r="E7" s="2373"/>
      <c r="F7" s="2374" t="s">
        <v>2082</v>
      </c>
      <c r="G7" s="2375"/>
      <c r="H7" s="2364"/>
      <c r="I7" s="2364"/>
      <c r="J7" s="2364"/>
      <c r="K7" s="2364"/>
      <c r="L7" s="2364"/>
      <c r="M7" s="2364"/>
      <c r="N7" s="2364"/>
      <c r="O7" s="2364"/>
      <c r="P7" s="2364"/>
      <c r="Q7" s="2364"/>
      <c r="R7" s="2364"/>
    </row>
    <row r="8" spans="1:29" ht="22.5" customHeight="1">
      <c r="A8" s="431"/>
      <c r="B8" s="1797" t="s">
        <v>2081</v>
      </c>
      <c r="C8" s="2981" t="s">
        <v>3124</v>
      </c>
      <c r="D8" s="2372"/>
      <c r="E8" s="2372"/>
      <c r="F8" s="1134"/>
      <c r="G8" s="1134"/>
      <c r="H8" s="2364"/>
      <c r="I8" s="2364"/>
      <c r="J8" s="2364"/>
      <c r="K8" s="2364"/>
      <c r="L8" s="2364"/>
      <c r="M8" s="2364"/>
      <c r="N8" s="2364"/>
      <c r="O8" s="2364"/>
      <c r="P8" s="2364"/>
      <c r="Q8" s="2364"/>
      <c r="R8" s="2364"/>
    </row>
    <row r="9" spans="1:29" ht="15">
      <c r="A9" s="431"/>
      <c r="B9" s="1797" t="s">
        <v>2083</v>
      </c>
      <c r="C9" s="2980" t="s">
        <v>3294</v>
      </c>
      <c r="D9" s="2367"/>
      <c r="E9" s="2372"/>
      <c r="F9" s="1134"/>
      <c r="G9" s="1134"/>
      <c r="H9" s="2364"/>
      <c r="I9" s="2364"/>
      <c r="J9" s="2364"/>
      <c r="K9" s="2364"/>
      <c r="L9" s="2364"/>
      <c r="M9" s="2364"/>
      <c r="N9" s="2364"/>
      <c r="O9" s="2364"/>
      <c r="P9" s="2364"/>
      <c r="Q9" s="2364"/>
      <c r="R9" s="2364"/>
    </row>
    <row r="10" spans="1:29" s="117" customFormat="1" ht="15.75" thickBot="1">
      <c r="A10" s="2376"/>
      <c r="B10" s="2377" t="s">
        <v>2084</v>
      </c>
      <c r="C10" s="2982" t="s">
        <v>3295</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2085</v>
      </c>
      <c r="B13" s="2382"/>
      <c r="C13" s="2382"/>
      <c r="D13" s="2389"/>
      <c r="E13" s="2382"/>
      <c r="F13" s="2382"/>
      <c r="G13" s="2382"/>
    </row>
    <row r="14" spans="1:29" ht="15.75" thickBot="1">
      <c r="A14" s="2393"/>
      <c r="B14" s="2394"/>
      <c r="C14" s="2395" t="s">
        <v>2086</v>
      </c>
      <c r="D14" s="2367"/>
      <c r="E14" s="2396"/>
      <c r="F14" s="2396"/>
      <c r="G14" s="2361" t="s">
        <v>2087</v>
      </c>
    </row>
    <row r="15" spans="1:29" ht="27">
      <c r="A15" s="68" t="s">
        <v>2088</v>
      </c>
      <c r="B15" s="1268" t="s">
        <v>2074</v>
      </c>
      <c r="C15" s="2397">
        <f>C3</f>
        <v>0</v>
      </c>
      <c r="D15" s="2367"/>
      <c r="E15" s="2398" t="s">
        <v>2089</v>
      </c>
      <c r="F15" s="1268" t="s">
        <v>2090</v>
      </c>
      <c r="G15" s="135">
        <f>G3</f>
        <v>0</v>
      </c>
    </row>
    <row r="16" spans="1:29" ht="15">
      <c r="A16" s="645"/>
      <c r="B16" s="2399" t="s">
        <v>2076</v>
      </c>
      <c r="C16" s="2400">
        <f>C4</f>
        <v>0</v>
      </c>
      <c r="D16" s="2367"/>
      <c r="E16" s="2401"/>
      <c r="F16" s="2402" t="s">
        <v>2077</v>
      </c>
      <c r="G16" s="136">
        <f>G4</f>
        <v>0</v>
      </c>
    </row>
    <row r="17" spans="1:18" ht="15">
      <c r="A17" s="645"/>
      <c r="B17" s="2399" t="s">
        <v>2078</v>
      </c>
      <c r="C17" s="2400" t="str">
        <f>C5</f>
        <v>一般</v>
      </c>
      <c r="D17" s="2372"/>
      <c r="E17" s="2401"/>
      <c r="F17" s="2402" t="s">
        <v>2091</v>
      </c>
      <c r="G17" s="1571"/>
    </row>
    <row r="18" spans="1:18" ht="15">
      <c r="A18" s="645"/>
      <c r="B18" s="2402" t="s">
        <v>2080</v>
      </c>
      <c r="C18" s="136" t="str">
        <f>C6</f>
        <v>一般</v>
      </c>
      <c r="D18" s="2372"/>
      <c r="E18" s="2401"/>
      <c r="F18" s="2402" t="s">
        <v>2082</v>
      </c>
      <c r="G18" s="136">
        <f>G7</f>
        <v>0</v>
      </c>
    </row>
    <row r="19" spans="1:18" ht="15">
      <c r="A19" s="645"/>
      <c r="B19" s="2402" t="s">
        <v>2092</v>
      </c>
      <c r="C19" s="1571"/>
      <c r="D19" s="2367"/>
      <c r="E19" s="2401"/>
      <c r="F19" s="1797" t="s">
        <v>2079</v>
      </c>
      <c r="G19" s="136">
        <f>G5</f>
        <v>0</v>
      </c>
    </row>
    <row r="20" spans="1:18" ht="15">
      <c r="A20" s="645"/>
      <c r="B20" s="2402" t="s">
        <v>2093</v>
      </c>
      <c r="C20" s="2400" t="str">
        <f>C9</f>
        <v>一般</v>
      </c>
      <c r="D20" s="2372"/>
      <c r="E20" s="2401"/>
      <c r="F20" s="1797" t="s">
        <v>2094</v>
      </c>
      <c r="G20" s="136">
        <f>G6</f>
        <v>0</v>
      </c>
    </row>
    <row r="21" spans="1:18" ht="15">
      <c r="A21" s="645"/>
      <c r="B21" s="1797" t="s">
        <v>2079</v>
      </c>
      <c r="C21" s="136" t="str">
        <f>C7</f>
        <v>较齐备</v>
      </c>
      <c r="D21" s="2367"/>
      <c r="E21" s="2401"/>
      <c r="F21" s="2402" t="s">
        <v>2095</v>
      </c>
      <c r="G21" s="2403"/>
    </row>
    <row r="22" spans="1:18" ht="13.5" customHeight="1">
      <c r="A22" s="645"/>
      <c r="B22" s="1797" t="s">
        <v>2081</v>
      </c>
      <c r="C22" s="136" t="str">
        <f>C8</f>
        <v>七通</v>
      </c>
      <c r="D22" s="2367"/>
      <c r="E22" s="2401"/>
      <c r="F22" s="2402" t="s">
        <v>2084</v>
      </c>
      <c r="G22" s="1571"/>
    </row>
    <row r="23" spans="1:18" s="2364" customFormat="1" ht="15.75" thickBot="1">
      <c r="A23" s="645"/>
      <c r="B23" s="2402" t="s">
        <v>2095</v>
      </c>
      <c r="C23" s="2403"/>
      <c r="D23" s="2390"/>
      <c r="E23" s="2404"/>
      <c r="F23" s="2405" t="s">
        <v>2096</v>
      </c>
      <c r="G23" s="2406"/>
      <c r="H23" s="2390"/>
      <c r="I23" s="2391"/>
      <c r="J23" s="2390"/>
      <c r="K23" s="2390"/>
      <c r="L23" s="2391"/>
      <c r="M23" s="2390"/>
      <c r="N23" s="2390"/>
      <c r="O23" s="2391"/>
      <c r="P23" s="2390"/>
      <c r="Q23" s="2390"/>
      <c r="R23" s="2392"/>
    </row>
    <row r="24" spans="1:18" s="2364" customFormat="1" ht="15.75" thickBot="1">
      <c r="A24" s="2407"/>
      <c r="B24" s="2405" t="s">
        <v>2097</v>
      </c>
      <c r="C24" s="137" t="str">
        <f>C10</f>
        <v>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40" customWidth="1"/>
    <col min="2" max="9" width="15.75" style="1740" customWidth="1"/>
    <col min="10" max="16384" width="9" style="1740"/>
  </cols>
  <sheetData>
    <row r="1" spans="1:10" ht="16.5">
      <c r="A1" s="1745" t="s">
        <v>1362</v>
      </c>
      <c r="B1" s="1745">
        <f>SUM(B14:B23)</f>
        <v>0</v>
      </c>
      <c r="C1" s="1744"/>
      <c r="D1" s="1744"/>
      <c r="E1" s="1744"/>
      <c r="F1" s="1744"/>
      <c r="G1" s="1742"/>
    </row>
    <row r="2" spans="1:10" ht="16.5">
      <c r="A2" s="1745" t="s">
        <v>1350</v>
      </c>
      <c r="B2" s="1745">
        <f>SUM(C14:C23)</f>
        <v>0</v>
      </c>
      <c r="C2" s="1744"/>
      <c r="D2" s="1744"/>
      <c r="E2" s="1744"/>
      <c r="F2" s="1744"/>
      <c r="G2" s="1742"/>
    </row>
    <row r="3" spans="1:10" ht="16.5">
      <c r="A3" s="1745" t="s">
        <v>1359</v>
      </c>
      <c r="B3" s="1746">
        <f>项目基本情况!D3</f>
        <v>43069</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t="e">
        <f ca="1">SUM(D14:D23)</f>
        <v>#N/A</v>
      </c>
      <c r="C5" s="1745" t="e">
        <f ca="1">ROUND(B5*10000/$B$1,0)</f>
        <v>#N/A</v>
      </c>
      <c r="D5" s="1745" t="e">
        <f ca="1">ROUND(B5*10000/$B$2,0)</f>
        <v>#N/A</v>
      </c>
      <c r="E5" s="1744"/>
      <c r="F5" s="1742"/>
      <c r="G5" s="1742"/>
    </row>
    <row r="6" spans="1:10" ht="16.5">
      <c r="A6" s="1745" t="s">
        <v>1353</v>
      </c>
      <c r="B6" s="1745" t="e">
        <f ca="1">SUM(G14:G23)</f>
        <v>#N/A</v>
      </c>
      <c r="C6" s="1745" t="e">
        <f ca="1">ROUND(B6*10000/$B$1,0)</f>
        <v>#N/A</v>
      </c>
      <c r="D6" s="1745" t="e">
        <f ca="1">ROUND(B6*10000/$B$2,0)</f>
        <v>#N/A</v>
      </c>
      <c r="E6" s="1744"/>
      <c r="F6" s="1742"/>
      <c r="G6" s="1742"/>
    </row>
    <row r="7" spans="1:10" ht="16.5">
      <c r="A7" s="1745" t="s">
        <v>1361</v>
      </c>
      <c r="B7" s="1745">
        <f>SUM(H14:H23)</f>
        <v>0</v>
      </c>
      <c r="C7" s="1745" t="e">
        <f>ROUND(B7*10000/$B$1,0)</f>
        <v>#DIV/0!</v>
      </c>
      <c r="D7" s="1745" t="e">
        <f>ROUND(B7*10000/$B$2,0)</f>
        <v>#DIV/0!</v>
      </c>
      <c r="E7" s="1744"/>
      <c r="F7" s="1742"/>
      <c r="G7" s="1742"/>
    </row>
    <row r="8" spans="1:10" ht="16.5">
      <c r="A8" s="1745" t="s">
        <v>1282</v>
      </c>
      <c r="B8" s="1745">
        <f>SUM(I14:I23)</f>
        <v>0</v>
      </c>
      <c r="C8" s="1745" t="e">
        <f>ROUND(B8*10000/$B$1,0)</f>
        <v>#DIV/0!</v>
      </c>
      <c r="D8" s="1745" t="e">
        <f>ROUND(B8*10000/$B$2,0)</f>
        <v>#DIV/0!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'结果表（商业）'!B118</f>
        <v>0</v>
      </c>
      <c r="C14" s="1743">
        <f>'结果表（商业）'!C118</f>
        <v>0</v>
      </c>
      <c r="D14" s="1743" t="e">
        <f ca="1">'结果表（商业）'!H118</f>
        <v>#N/A</v>
      </c>
      <c r="E14" s="1743" t="e">
        <f ca="1">ROUND(D14*10000/B14,0)</f>
        <v>#N/A</v>
      </c>
      <c r="F14" s="1743" t="e">
        <f ca="1">ROUND(D14*10000/C14,0)</f>
        <v>#N/A</v>
      </c>
      <c r="G14" s="1743" t="e">
        <f ca="1">'结果表（商业）'!D122</f>
        <v>#N/A</v>
      </c>
      <c r="H14" s="1743" t="str">
        <f>'结果表（商业）'!D124</f>
        <v>——</v>
      </c>
      <c r="I14" s="1743" t="str">
        <f>'结果表（商业）'!D126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3128</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3180</v>
      </c>
      <c r="D4" s="2422" t="s">
        <v>3272</v>
      </c>
      <c r="E4" s="3118" t="s">
        <v>2103</v>
      </c>
      <c r="F4" s="3119"/>
      <c r="G4" s="3119"/>
      <c r="H4" s="3119"/>
      <c r="I4" s="3120"/>
      <c r="K4" s="2423" t="str">
        <f>IF(ISNUMBER(FIND("比较法",'结果表（办公）'!C4)),"比较法",IF(ISNUMBER(FIND("成本法",'结果表（办公）'!C4)),"成本法",IF(ISNUMBER(FIND("假设开发法",'结果表（办公）'!C4)),"假设开发法",IF(ISNUMBER(FIND("收益法",'结果表（办公）'!C4)),"收益法","基准地价系数修正法"))))</f>
        <v>比较法</v>
      </c>
      <c r="L4" s="242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135">
        <v>7</v>
      </c>
      <c r="D14" s="3138">
        <v>3</v>
      </c>
      <c r="E14" s="140" t="s">
        <v>2118</v>
      </c>
      <c r="F14" s="2424"/>
      <c r="G14" s="2424"/>
      <c r="H14" s="2424"/>
      <c r="I14" s="1833"/>
    </row>
    <row r="15" spans="1:12" ht="12.75">
      <c r="A15" s="3109"/>
      <c r="B15" s="3060"/>
      <c r="C15" s="3136"/>
      <c r="D15" s="3138"/>
      <c r="E15" s="140" t="s">
        <v>2119</v>
      </c>
      <c r="F15" s="2424"/>
      <c r="G15" s="2424"/>
      <c r="H15" s="2424"/>
      <c r="I15" s="1833"/>
    </row>
    <row r="16" spans="1:12" ht="12.75">
      <c r="A16" s="3109"/>
      <c r="B16" s="3060"/>
      <c r="C16" s="3137"/>
      <c r="D16" s="3138"/>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SUMIF(INDIRECT("'"&amp;C4&amp;"'"&amp;"!A:A"),'结果表（办公）'!B19,INDIRECT("'"&amp;C4&amp;"'"&amp;"!B:B"))</f>
        <v>1648</v>
      </c>
      <c r="D19" s="144">
        <f ca="1">SUMIF(INDIRECT("'"&amp;D4&amp;"'"&amp;"!A:A"),'结果表（办公）'!B19,INDIRECT("'"&amp;D4&amp;"'"&amp;"!B:B"))</f>
        <v>801</v>
      </c>
      <c r="E19" s="2429" t="s">
        <v>2128</v>
      </c>
      <c r="F19" s="2430" t="s">
        <v>2127</v>
      </c>
      <c r="G19" s="145">
        <f ca="1">ROUND(C19*$C$18+D19*$D$18,0)</f>
        <v>1394</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SUMIF(INDIRECT("'"&amp;C4&amp;"'"&amp;"!A:A"),'结果表（办公）'!B20,INDIRECT("'"&amp;C4&amp;"'"&amp;"!B:B"))</f>
        <v>7221</v>
      </c>
      <c r="D20" s="147">
        <f ca="1">SUMIF(INDIRECT("'"&amp;D4&amp;"'"&amp;"!A:A"),'结果表（办公）'!B20,INDIRECT("'"&amp;D4&amp;"'"&amp;"!B:B"))</f>
        <v>3511</v>
      </c>
      <c r="E20" s="2432"/>
      <c r="F20" s="1248" t="s">
        <v>2131</v>
      </c>
      <c r="G20" s="148">
        <f ca="1">ROUND(C20*$C$18+D20*$D$18,0)</f>
        <v>6108</v>
      </c>
      <c r="H20" s="981" t="s">
        <v>2132</v>
      </c>
      <c r="I20" s="138"/>
    </row>
    <row r="21" spans="1:35" ht="15" customHeight="1" thickBot="1">
      <c r="A21" s="1001"/>
      <c r="B21" s="2433" t="s">
        <v>2133</v>
      </c>
      <c r="C21" s="788">
        <f ca="1">ROUND(C19*10000/L19,0)</f>
        <v>27375</v>
      </c>
      <c r="D21" s="789">
        <f ca="1">ROUND(D19*10000/L19,0)</f>
        <v>13306</v>
      </c>
      <c r="E21" s="1001"/>
      <c r="F21" s="2433" t="s">
        <v>2133</v>
      </c>
      <c r="G21" s="149">
        <f ca="1">ROUND(G19*10000/L19,0)</f>
        <v>23156</v>
      </c>
      <c r="H21" s="2434" t="s">
        <v>2132</v>
      </c>
      <c r="I21" s="138"/>
    </row>
    <row r="22" spans="1:35" ht="15" thickBot="1">
      <c r="A22" s="2277" t="s">
        <v>2134</v>
      </c>
      <c r="B22" s="2435"/>
      <c r="C22" s="2436"/>
      <c r="D22" s="790">
        <f ca="1">IF(C19&lt;D19,D19/C19-1,C19/D19-1)</f>
        <v>1.0574282147315857</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1394</v>
      </c>
      <c r="D32" s="2444" t="s">
        <v>2142</v>
      </c>
      <c r="E32" s="138"/>
      <c r="F32" s="138"/>
      <c r="G32" s="138"/>
      <c r="H32" s="138"/>
      <c r="I32" s="138"/>
    </row>
    <row r="33" spans="1:15" ht="15">
      <c r="A33" s="958" t="s">
        <v>2143</v>
      </c>
      <c r="B33" s="2445"/>
      <c r="C33" s="2446"/>
      <c r="D33" s="2447"/>
      <c r="E33" s="2448" t="s">
        <v>2144</v>
      </c>
      <c r="F33" s="2945"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2137</v>
      </c>
      <c r="C39" s="2463" t="s">
        <v>2138</v>
      </c>
      <c r="D39" s="2463" t="s">
        <v>2157</v>
      </c>
      <c r="E39" s="2464" t="s">
        <v>2139</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f ca="1">ROUND(H101*F45,0)</f>
        <v>1394</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2954">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2954">
        <v>2</v>
      </c>
      <c r="K47" s="3130" t="s">
        <v>2174</v>
      </c>
      <c r="L47" s="3130"/>
      <c r="M47" s="3139">
        <f>'数据-取费表'!B2</f>
        <v>43069</v>
      </c>
      <c r="N47" s="3139"/>
      <c r="O47" s="3139"/>
    </row>
    <row r="48" spans="1:15" ht="25.5">
      <c r="A48" s="3140" t="s">
        <v>2175</v>
      </c>
      <c r="B48" s="3141"/>
      <c r="C48" s="3141"/>
      <c r="D48" s="140">
        <f>IF(H48="情况1",0,IF(H48="情况2",D52,IF(H48="情况3",D53,IF(H48="情况4",D54))))</f>
        <v>0</v>
      </c>
      <c r="E48" s="2963" t="str">
        <f>IF(H48="情况4","(销售额-原购置价)×税（费）率","销售额×税（费）率")</f>
        <v>销售额×税（费）率</v>
      </c>
      <c r="F48" s="175" t="str">
        <f>IF(H48="情况1","免征",'数据-取费表'!B41)</f>
        <v>免征</v>
      </c>
      <c r="G48" s="2476" t="s">
        <v>2176</v>
      </c>
      <c r="H48" s="2477" t="s">
        <v>2177</v>
      </c>
      <c r="I48" s="2475"/>
      <c r="J48" s="2954">
        <v>3</v>
      </c>
      <c r="K48" s="3130" t="s">
        <v>2178</v>
      </c>
      <c r="L48" s="3130"/>
      <c r="M48" s="3142">
        <f ca="1">H101</f>
        <v>1394</v>
      </c>
      <c r="N48" s="3142"/>
      <c r="O48" s="3142"/>
    </row>
    <row r="49" spans="1:35" ht="25.5" customHeight="1">
      <c r="A49" s="176" t="s">
        <v>2179</v>
      </c>
      <c r="B49" s="3143" t="s">
        <v>2180</v>
      </c>
      <c r="C49" s="3143"/>
      <c r="D49" s="177">
        <v>0</v>
      </c>
      <c r="E49" s="23" t="s">
        <v>2181</v>
      </c>
      <c r="F49" s="28" t="s">
        <v>34</v>
      </c>
      <c r="G49" s="3144"/>
      <c r="H49" s="138"/>
      <c r="I49" s="2478"/>
      <c r="J49" s="2954">
        <v>4</v>
      </c>
      <c r="K49" s="3130" t="str">
        <f>IF(项目基本情况!E8="房地产抵押价值","房地产抵押价值","抵押担保权已注销时的房地产抵押价值")</f>
        <v>抵押担保权已注销时的房地产抵押价值</v>
      </c>
      <c r="L49" s="3130"/>
      <c r="M49" s="3142" t="str">
        <f>IF(项目基本情况!E8="房地产抵押价值",H107,H109)</f>
        <v>——</v>
      </c>
      <c r="N49" s="3142"/>
      <c r="O49" s="3142"/>
    </row>
    <row r="50" spans="1:35" ht="25.5" customHeight="1">
      <c r="A50" s="178"/>
      <c r="B50" s="3143" t="s">
        <v>2182</v>
      </c>
      <c r="C50" s="3143"/>
      <c r="D50" s="179"/>
      <c r="E50" s="31"/>
      <c r="F50" s="180"/>
      <c r="G50" s="3145"/>
      <c r="H50" s="138"/>
      <c r="I50" s="2478"/>
      <c r="J50" s="3130" t="s">
        <v>2183</v>
      </c>
      <c r="K50" s="3130"/>
      <c r="L50" s="3130"/>
      <c r="M50" s="3130"/>
      <c r="N50" s="3130"/>
      <c r="O50" s="3130"/>
    </row>
    <row r="51" spans="1:35" ht="12" customHeight="1">
      <c r="A51" s="181"/>
      <c r="B51" s="3143" t="s">
        <v>2184</v>
      </c>
      <c r="C51" s="3143"/>
      <c r="D51" s="182"/>
      <c r="E51" s="30"/>
      <c r="F51" s="180"/>
      <c r="G51" s="3146"/>
      <c r="H51" s="138"/>
      <c r="I51" s="2478"/>
      <c r="J51" s="2947" t="s">
        <v>2185</v>
      </c>
      <c r="K51" s="3130" t="s">
        <v>2186</v>
      </c>
      <c r="L51" s="3130"/>
      <c r="M51" s="2947" t="s">
        <v>2187</v>
      </c>
      <c r="N51" s="2947" t="s">
        <v>2188</v>
      </c>
      <c r="O51" s="2947" t="s">
        <v>2189</v>
      </c>
    </row>
    <row r="52" spans="1:35" ht="24" customHeight="1">
      <c r="A52" s="183" t="s">
        <v>2190</v>
      </c>
      <c r="B52" s="3143" t="s">
        <v>2191</v>
      </c>
      <c r="C52" s="3143"/>
      <c r="D52" s="182">
        <f ca="1">ROUND(D45*'数据-取费表'!B41/(1+'数据-取费表'!C42),0)</f>
        <v>74</v>
      </c>
      <c r="E52" s="11" t="s">
        <v>2192</v>
      </c>
      <c r="F52" s="184">
        <f>'数据-取费表'!B41</f>
        <v>5.6000000000000001E-2</v>
      </c>
      <c r="G52" s="2480"/>
      <c r="H52" s="138"/>
      <c r="I52" s="2478"/>
      <c r="J52" s="2954">
        <v>1</v>
      </c>
      <c r="K52" s="3149" t="s">
        <v>2193</v>
      </c>
      <c r="L52" s="3149"/>
      <c r="M52" s="1753">
        <f>D48</f>
        <v>0</v>
      </c>
      <c r="N52" s="2954" t="str">
        <f>E48</f>
        <v>销售额×税（费）率</v>
      </c>
      <c r="O52" s="1754" t="str">
        <f>F48</f>
        <v>免征</v>
      </c>
    </row>
    <row r="53" spans="1:35" ht="12" customHeight="1">
      <c r="A53" s="183" t="s">
        <v>2194</v>
      </c>
      <c r="B53" s="3147" t="s">
        <v>2195</v>
      </c>
      <c r="C53" s="3148"/>
      <c r="D53" s="182">
        <f ca="1">ROUND(D45*'数据-取费表'!B41/(1+'数据-取费表'!C42),0)</f>
        <v>74</v>
      </c>
      <c r="E53" s="11" t="s">
        <v>2192</v>
      </c>
      <c r="F53" s="184">
        <f>'数据-取费表'!B41</f>
        <v>5.6000000000000001E-2</v>
      </c>
      <c r="G53" s="2480"/>
      <c r="H53" s="138"/>
      <c r="I53" s="2478"/>
      <c r="J53" s="2954">
        <v>2</v>
      </c>
      <c r="K53" s="3149" t="s">
        <v>2196</v>
      </c>
      <c r="L53" s="3149"/>
      <c r="M53" s="1753">
        <f t="shared" ref="M53:O54" ca="1" si="0">D55</f>
        <v>1</v>
      </c>
      <c r="N53" s="2954" t="str">
        <f t="shared" si="0"/>
        <v>销售额×税（费）率</v>
      </c>
      <c r="O53" s="1754">
        <f t="shared" si="0"/>
        <v>5.0000000000000001E-4</v>
      </c>
    </row>
    <row r="54" spans="1:35" ht="12" customHeight="1">
      <c r="A54" s="183" t="s">
        <v>2197</v>
      </c>
      <c r="B54" s="3147" t="s">
        <v>2198</v>
      </c>
      <c r="C54" s="3148"/>
      <c r="D54" s="182">
        <f ca="1">C68</f>
        <v>74</v>
      </c>
      <c r="E54" s="30" t="s">
        <v>2199</v>
      </c>
      <c r="F54" s="184">
        <f>'数据-取费表'!B41</f>
        <v>5.6000000000000001E-2</v>
      </c>
      <c r="G54" s="2480"/>
      <c r="H54" s="2481"/>
      <c r="I54" s="2478"/>
      <c r="J54" s="2954">
        <v>3</v>
      </c>
      <c r="K54" s="3149" t="s">
        <v>2200</v>
      </c>
      <c r="L54" s="3149"/>
      <c r="M54" s="1753">
        <f t="shared" ca="1" si="0"/>
        <v>789</v>
      </c>
      <c r="N54" s="2954" t="str">
        <f t="shared" si="0"/>
        <v>增值额×税（费）率</v>
      </c>
      <c r="O54" s="1755" t="str">
        <f t="shared" si="0"/>
        <v>——</v>
      </c>
    </row>
    <row r="55" spans="1:35" ht="24" customHeight="1">
      <c r="A55" s="3150" t="s">
        <v>2201</v>
      </c>
      <c r="B55" s="3141"/>
      <c r="C55" s="3141"/>
      <c r="D55" s="185">
        <f ca="1">IF(H55="个人住宅",0,ROUND(D45*I55,0))</f>
        <v>1</v>
      </c>
      <c r="E55" s="11" t="s">
        <v>2202</v>
      </c>
      <c r="F55" s="184">
        <f>IF(H55="正常",I55,"免征")</f>
        <v>5.0000000000000001E-4</v>
      </c>
      <c r="G55" s="2480"/>
      <c r="H55" s="2477" t="s">
        <v>2203</v>
      </c>
      <c r="I55" s="186">
        <f>'数据-取费表'!B49</f>
        <v>5.0000000000000001E-4</v>
      </c>
      <c r="J55" s="2954" t="str">
        <f>IF(H59="非个人房产","",4)</f>
        <v/>
      </c>
      <c r="K55" s="3149" t="str">
        <f>IF(H59="非个人房产","——","个人所得税")</f>
        <v>——</v>
      </c>
      <c r="L55" s="3149"/>
      <c r="M55" s="1756" t="str">
        <f>D59</f>
        <v>——</v>
      </c>
      <c r="N55" s="2955" t="str">
        <f>E59</f>
        <v>——</v>
      </c>
      <c r="O55" s="1757" t="str">
        <f>F59</f>
        <v>——</v>
      </c>
    </row>
    <row r="56" spans="1:35" ht="24.75">
      <c r="A56" s="3150" t="s">
        <v>2204</v>
      </c>
      <c r="B56" s="3141"/>
      <c r="C56" s="3141"/>
      <c r="D56" s="185">
        <f ca="1">IF(H56="个人住宅",D57,D58)</f>
        <v>789</v>
      </c>
      <c r="E56" s="11" t="s">
        <v>2205</v>
      </c>
      <c r="F56" s="184" t="str">
        <f>IF(H56="正常",F58,"免征")</f>
        <v>——</v>
      </c>
      <c r="G56" s="2482" t="s">
        <v>2206</v>
      </c>
      <c r="H56" s="2483" t="s">
        <v>2203</v>
      </c>
      <c r="I56" s="2484"/>
      <c r="J56" s="2954" t="str">
        <f>IF(项目基本情况!K6="上海银行",IF(J55="",4,J55+1),"")</f>
        <v/>
      </c>
      <c r="K56" s="3151" t="str">
        <f>IF(项目基本情况!K6="上海银行","其他处置费用","")</f>
        <v/>
      </c>
      <c r="L56" s="3152"/>
      <c r="M56" s="1753" t="str">
        <f>IF(项目基本情况!K6="上海银行",M69,"")</f>
        <v/>
      </c>
      <c r="N56" s="3159" t="str">
        <f>IF(项目基本情况!K6="上海银行","包含处置中涉及的律师、诉讼、拍卖、评估等费用","")</f>
        <v/>
      </c>
      <c r="O56" s="3160"/>
    </row>
    <row r="57" spans="1:35" ht="12.75">
      <c r="A57" s="183" t="s">
        <v>2179</v>
      </c>
      <c r="B57" s="3118" t="s">
        <v>2207</v>
      </c>
      <c r="C57" s="3120"/>
      <c r="D57" s="187">
        <v>0</v>
      </c>
      <c r="E57" s="23" t="s">
        <v>2181</v>
      </c>
      <c r="F57" s="155"/>
      <c r="G57" s="2480"/>
      <c r="H57" s="2484"/>
      <c r="I57" s="2484"/>
      <c r="J57" s="3149">
        <f>IF(AND(J55="",J56=""),4,IF(项目基本情况!K6="上海银行",'结果表（办公）'!J56+1,'结果表（办公）'!J55+1))</f>
        <v>4</v>
      </c>
      <c r="K57" s="3149" t="s">
        <v>2208</v>
      </c>
      <c r="L57" s="2485" t="s">
        <v>2209</v>
      </c>
      <c r="M57" s="1758"/>
      <c r="N57" s="1759">
        <f ca="1">SUMIF(M52:M56,"&lt;9e307")</f>
        <v>790</v>
      </c>
      <c r="O57" s="2486"/>
      <c r="P57" s="1752" t="e">
        <f ca="1">N57/M49</f>
        <v>#VALUE!</v>
      </c>
    </row>
    <row r="58" spans="1:35" ht="24.75">
      <c r="A58" s="183" t="s">
        <v>2190</v>
      </c>
      <c r="B58" s="3118" t="s">
        <v>2210</v>
      </c>
      <c r="C58" s="3119"/>
      <c r="D58" s="185">
        <f ca="1">IF(H58="转让取得",C81,C97)</f>
        <v>789</v>
      </c>
      <c r="E58" s="11" t="s">
        <v>2205</v>
      </c>
      <c r="F58" s="24" t="s">
        <v>34</v>
      </c>
      <c r="G58" s="2480"/>
      <c r="H58" s="2483" t="s">
        <v>2211</v>
      </c>
      <c r="I58" s="2484"/>
      <c r="J58" s="3149"/>
      <c r="K58" s="3149"/>
      <c r="L58" s="2485" t="s">
        <v>2212</v>
      </c>
      <c r="M58" s="1760"/>
      <c r="N58" s="2487" t="str">
        <f ca="1">NUMBERSTRING(INT(N57*10000),2)&amp;"元整"</f>
        <v>柒佰玖拾万元整</v>
      </c>
      <c r="O58" s="2488"/>
    </row>
    <row r="59" spans="1:35" ht="24.75" thickBot="1">
      <c r="A59" s="3161" t="s">
        <v>2213</v>
      </c>
      <c r="B59" s="3162"/>
      <c r="C59" s="3162"/>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3">
        <f>J57+1</f>
        <v>5</v>
      </c>
      <c r="K59" s="3149" t="s">
        <v>2215</v>
      </c>
      <c r="L59" s="2954" t="s">
        <v>2209</v>
      </c>
      <c r="M59" s="1761"/>
      <c r="N59" s="1762" t="e">
        <f ca="1">M49-N57</f>
        <v>#VALUE!</v>
      </c>
      <c r="O59" s="2490"/>
    </row>
    <row r="60" spans="1:35" ht="12" customHeight="1">
      <c r="A60" s="2491"/>
      <c r="B60" s="2413"/>
      <c r="C60" s="2413"/>
      <c r="D60" s="2413"/>
      <c r="E60" s="2164"/>
      <c r="F60" s="2484"/>
      <c r="G60" s="2484"/>
      <c r="H60" s="2492"/>
      <c r="I60" s="138"/>
      <c r="J60" s="3164"/>
      <c r="K60" s="3149"/>
      <c r="L60" s="2485" t="s">
        <v>2212</v>
      </c>
      <c r="M60" s="1760"/>
      <c r="N60" s="2487" t="e">
        <f ca="1">NUMBERSTRING(INT(N59*10000),2)&amp;"元整"</f>
        <v>#VALUE!</v>
      </c>
      <c r="O60" s="2488"/>
    </row>
    <row r="61" spans="1:35" ht="13.5" thickBot="1">
      <c r="A61" s="3153" t="s">
        <v>2216</v>
      </c>
      <c r="B61" s="3153"/>
      <c r="C61" s="3153"/>
      <c r="D61" s="3153"/>
      <c r="E61" s="3153"/>
      <c r="F61" s="2484"/>
      <c r="G61" s="2484"/>
      <c r="H61" s="2492"/>
      <c r="I61" s="138"/>
      <c r="J61" s="2954">
        <f>J59+1</f>
        <v>6</v>
      </c>
      <c r="K61" s="3149" t="s">
        <v>2217</v>
      </c>
      <c r="L61" s="3149"/>
      <c r="M61" s="1763"/>
      <c r="N61" s="1764" t="e">
        <f ca="1">ROUND(N59*10000/'数据-汇总表'!E3,0)</f>
        <v>#VALUE!</v>
      </c>
      <c r="O61" s="2493"/>
    </row>
    <row r="62" spans="1:35" ht="12.75">
      <c r="A62" s="3154" t="s">
        <v>2218</v>
      </c>
      <c r="B62" s="3155"/>
      <c r="C62" s="2959"/>
      <c r="D62" s="2959" t="s">
        <v>2219</v>
      </c>
      <c r="E62" s="192" t="s">
        <v>2220</v>
      </c>
      <c r="F62" s="2484"/>
      <c r="G62" s="2484"/>
      <c r="H62" s="2492"/>
      <c r="I62" s="138"/>
    </row>
    <row r="63" spans="1:35" ht="12.75">
      <c r="A63" s="203" t="s">
        <v>774</v>
      </c>
      <c r="B63" s="193" t="s">
        <v>2221</v>
      </c>
      <c r="C63" s="194">
        <f ca="1">ROUND((C64+C65)/(1+'数据-取费表'!C42),0)</f>
        <v>1328</v>
      </c>
      <c r="D63" s="195"/>
      <c r="E63" s="196"/>
      <c r="F63" s="2484"/>
      <c r="G63" s="2484"/>
      <c r="H63" s="2492"/>
      <c r="I63" s="138"/>
      <c r="J63" s="3156" t="s">
        <v>2222</v>
      </c>
      <c r="K63" s="2950"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1394</v>
      </c>
      <c r="D64" s="200" t="s">
        <v>32</v>
      </c>
      <c r="E64" s="201"/>
      <c r="F64" s="2484"/>
      <c r="G64" s="2484"/>
      <c r="H64" s="2492"/>
      <c r="I64" s="138"/>
      <c r="J64" s="3156"/>
      <c r="K64" s="2950"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6"/>
      <c r="K65" s="2950"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6"/>
      <c r="K66" s="2950" t="s">
        <v>2230</v>
      </c>
      <c r="L66" s="1751" t="e">
        <f>M49*0.5%</f>
        <v>#VALUE!</v>
      </c>
      <c r="M66" s="24" t="e">
        <f>IF(L66&gt;0.5,0.5,ROUND(L66,0))</f>
        <v>#VALUE!</v>
      </c>
      <c r="N66" s="138" t="s">
        <v>2231</v>
      </c>
      <c r="Z66" s="2418"/>
      <c r="AI66" s="2419"/>
    </row>
    <row r="67" spans="1:35" ht="14.25" customHeight="1">
      <c r="A67" s="203" t="s">
        <v>772</v>
      </c>
      <c r="B67" s="204" t="s">
        <v>2232</v>
      </c>
      <c r="C67" s="207">
        <f ca="1">C63-C66</f>
        <v>1328</v>
      </c>
      <c r="D67" s="200" t="s">
        <v>32</v>
      </c>
      <c r="E67" s="201"/>
      <c r="F67" s="2484"/>
      <c r="G67" s="2484"/>
      <c r="H67" s="2492"/>
      <c r="I67" s="138"/>
      <c r="J67" s="3156"/>
      <c r="K67" s="2950"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74</v>
      </c>
      <c r="D68" s="211">
        <f>'数据-取费表'!B41</f>
        <v>5.6000000000000001E-2</v>
      </c>
      <c r="E68" s="212"/>
      <c r="F68" s="2484"/>
      <c r="G68" s="2484"/>
      <c r="H68" s="2492"/>
      <c r="I68" s="138"/>
      <c r="J68" s="3156"/>
      <c r="K68" s="2950"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6"/>
      <c r="K69" s="2950"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7" t="s">
        <v>2237</v>
      </c>
      <c r="B70" s="3158"/>
      <c r="C70" s="3158"/>
      <c r="D70" s="3158"/>
      <c r="E70" s="3158"/>
      <c r="F70" s="3158"/>
      <c r="G70" s="3158"/>
      <c r="H70" s="315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2959"/>
      <c r="D71" s="2959"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1328</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7" t="s">
        <v>2246</v>
      </c>
      <c r="F76" s="3143"/>
      <c r="G76" s="3143"/>
      <c r="H76" s="317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2951" t="s">
        <v>2248</v>
      </c>
      <c r="F77" s="224"/>
      <c r="G77" s="2508" t="s">
        <v>2249</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65" t="s">
        <v>2251</v>
      </c>
      <c r="F78" s="3166"/>
      <c r="G78" s="3166"/>
      <c r="H78" s="316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2252</v>
      </c>
      <c r="C79" s="207">
        <f ca="1">C72-C73</f>
        <v>1320</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165</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789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7" t="s">
        <v>2255</v>
      </c>
      <c r="B83" s="3158"/>
      <c r="C83" s="3158"/>
      <c r="D83" s="3158"/>
      <c r="E83" s="3158"/>
      <c r="F83" s="3158"/>
      <c r="G83" s="3158"/>
      <c r="H83" s="315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2959"/>
      <c r="D84" s="2959"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1328</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2957"/>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5" t="s">
        <v>2264</v>
      </c>
      <c r="F91" s="3166"/>
      <c r="G91" s="3166"/>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5" t="s">
        <v>2268</v>
      </c>
      <c r="F92" s="3166"/>
      <c r="G92" s="3166"/>
      <c r="H92" s="316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65" t="s">
        <v>2251</v>
      </c>
      <c r="F93" s="3166"/>
      <c r="G93" s="3166"/>
      <c r="H93" s="316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8" t="s">
        <v>2272</v>
      </c>
      <c r="F94" s="3169"/>
      <c r="G94" s="3169"/>
      <c r="H94" s="317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2252</v>
      </c>
      <c r="C95" s="207">
        <f ca="1">ROUND(C85-C86,0)</f>
        <v>1320</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165</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789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71"/>
      <c r="E100" s="3104" t="s">
        <v>2275</v>
      </c>
      <c r="F100" s="3104"/>
      <c r="G100" s="3104"/>
      <c r="H100" s="3171"/>
      <c r="I100" s="138"/>
    </row>
    <row r="101" spans="1:35" ht="18.75" customHeight="1">
      <c r="A101" s="3172" t="s">
        <v>2276</v>
      </c>
      <c r="B101" s="3173"/>
      <c r="C101" s="735" t="str">
        <f>C4</f>
        <v>比较法-办公</v>
      </c>
      <c r="D101" s="736" t="str">
        <f>D4</f>
        <v>收益法（办公）</v>
      </c>
      <c r="E101" s="3174" t="s">
        <v>2277</v>
      </c>
      <c r="F101" s="3175"/>
      <c r="G101" s="2515" t="s">
        <v>2278</v>
      </c>
      <c r="H101" s="1046">
        <f ca="1">H118</f>
        <v>1394</v>
      </c>
      <c r="I101" s="138"/>
    </row>
    <row r="102" spans="1:35" ht="18.75" customHeight="1">
      <c r="A102" s="3176" t="s">
        <v>2279</v>
      </c>
      <c r="B102" s="2515" t="s">
        <v>2278</v>
      </c>
      <c r="C102" s="735">
        <f ca="1">C19</f>
        <v>1648</v>
      </c>
      <c r="D102" s="736">
        <f ca="1">D19</f>
        <v>801</v>
      </c>
      <c r="E102" s="3174"/>
      <c r="F102" s="3175"/>
      <c r="G102" s="2515" t="s">
        <v>2280</v>
      </c>
      <c r="H102" s="371">
        <f ca="1">I118</f>
        <v>6107</v>
      </c>
      <c r="I102" s="138"/>
    </row>
    <row r="103" spans="1:35" ht="42.75" customHeight="1">
      <c r="A103" s="3176"/>
      <c r="B103" s="2515" t="s">
        <v>2280</v>
      </c>
      <c r="C103" s="737">
        <f ca="1">C20</f>
        <v>7221</v>
      </c>
      <c r="D103" s="738">
        <f ca="1">D20</f>
        <v>3511</v>
      </c>
      <c r="E103" s="3177" t="s">
        <v>2281</v>
      </c>
      <c r="F103" s="3178"/>
      <c r="G103" s="2516" t="s">
        <v>2282</v>
      </c>
      <c r="H103" s="1046">
        <f>IF(D36="正常操作",H104+H105+H106,H105+H106)</f>
        <v>0</v>
      </c>
      <c r="I103" s="138"/>
    </row>
    <row r="104" spans="1:35" ht="18.75" customHeight="1">
      <c r="A104" s="3176" t="s">
        <v>2283</v>
      </c>
      <c r="B104" s="2517" t="s">
        <v>2278</v>
      </c>
      <c r="C104" s="739">
        <f ca="1">H118</f>
        <v>1394</v>
      </c>
      <c r="D104" s="740"/>
      <c r="E104" s="2263" t="s">
        <v>2284</v>
      </c>
      <c r="F104" s="2255"/>
      <c r="G104" s="2516" t="s">
        <v>2282</v>
      </c>
      <c r="H104" s="1047">
        <f>IF(D36="同一抵押权人同一抵押物续贷",C36&amp;"（未扣减，详见特别提示）",C36)</f>
        <v>0</v>
      </c>
      <c r="I104" s="138"/>
    </row>
    <row r="105" spans="1:35" ht="18.75" customHeight="1" thickBot="1">
      <c r="A105" s="3185"/>
      <c r="B105" s="2518" t="s">
        <v>2280</v>
      </c>
      <c r="C105" s="741">
        <f ca="1">I118</f>
        <v>6107</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6" t="str">
        <f>IF(项目基本情况!E8="已注销","——","3.房地产抵押价值")</f>
        <v>3.房地产抵押价值</v>
      </c>
      <c r="F107" s="3175"/>
      <c r="G107" s="2515" t="s">
        <v>2278</v>
      </c>
      <c r="H107" s="1046">
        <f ca="1">IF(E107="——","——",H101-H103)</f>
        <v>1394</v>
      </c>
      <c r="I107" s="138"/>
    </row>
    <row r="108" spans="1:35" ht="18.75" customHeight="1">
      <c r="A108" s="138"/>
      <c r="B108" s="138"/>
      <c r="C108" s="138"/>
      <c r="D108" s="138"/>
      <c r="E108" s="3186"/>
      <c r="F108" s="3175"/>
      <c r="G108" s="2515" t="s">
        <v>2280</v>
      </c>
      <c r="H108" s="371">
        <f ca="1">ROUND(H107*10000/'数据-汇总表'!E3,0)</f>
        <v>6107</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75"/>
      <c r="G109" s="2515" t="s">
        <v>2278</v>
      </c>
      <c r="H109" s="348" t="str">
        <f>IF(E109="——","——",H101-H105-H106)</f>
        <v>——</v>
      </c>
      <c r="I109" s="138"/>
    </row>
    <row r="110" spans="1:35" ht="18.75" customHeight="1">
      <c r="A110" s="138"/>
      <c r="B110" s="138"/>
      <c r="C110" s="138"/>
      <c r="D110" s="138"/>
      <c r="E110" s="3186"/>
      <c r="F110" s="3175"/>
      <c r="G110" s="2515" t="s">
        <v>2280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5" t="s">
        <v>2278</v>
      </c>
      <c r="H111" s="1046" t="str">
        <f>IF(E111="——","——",N59)</f>
        <v>——</v>
      </c>
      <c r="I111" s="138"/>
    </row>
    <row r="112" spans="1:35" ht="18.75" customHeight="1" thickBot="1">
      <c r="A112" s="138"/>
      <c r="B112" s="138"/>
      <c r="C112" s="138"/>
      <c r="D112" s="138"/>
      <c r="E112" s="3189"/>
      <c r="F112" s="3190"/>
      <c r="G112" s="2520" t="s">
        <v>2280</v>
      </c>
      <c r="H112" s="789" t="str">
        <f>IF(E111="——","——",N61)</f>
        <v>——</v>
      </c>
      <c r="I112" s="138"/>
    </row>
    <row r="113" spans="1:11" ht="18.75" customHeight="1">
      <c r="A113" s="138"/>
      <c r="B113" s="138"/>
      <c r="C113" s="138"/>
      <c r="D113" s="138"/>
      <c r="E113" s="3191" t="s">
        <v>2286</v>
      </c>
      <c r="F113" s="3191"/>
      <c r="G113" s="3191"/>
      <c r="H113" s="3191"/>
      <c r="I113" s="138"/>
    </row>
    <row r="114" spans="1:11" ht="3.75" customHeight="1">
      <c r="A114" s="2413"/>
      <c r="B114" s="2413"/>
      <c r="C114" s="2413"/>
      <c r="D114" s="2413"/>
      <c r="E114" s="2491"/>
      <c r="F114" s="2491"/>
      <c r="G114" s="2491"/>
      <c r="H114" s="2491"/>
      <c r="I114" s="2413"/>
    </row>
    <row r="115" spans="1:11" ht="18.75" customHeight="1">
      <c r="A115" s="3192" t="s">
        <v>2288</v>
      </c>
      <c r="B115" s="3193"/>
      <c r="C115" s="3193"/>
      <c r="D115" s="3193"/>
      <c r="E115" s="3193"/>
      <c r="F115" s="3193"/>
      <c r="G115" s="3193"/>
      <c r="H115" s="3193"/>
      <c r="I115" s="3194"/>
    </row>
    <row r="116" spans="1:11" ht="27" customHeight="1">
      <c r="A116" s="3060" t="s">
        <v>2289</v>
      </c>
      <c r="B116" s="3180" t="s">
        <v>2290</v>
      </c>
      <c r="C116" s="3180" t="s">
        <v>2291</v>
      </c>
      <c r="D116" s="3182" t="s">
        <v>2292</v>
      </c>
      <c r="E116" s="3183"/>
      <c r="F116" s="3184" t="s">
        <v>2293</v>
      </c>
      <c r="G116" s="3184"/>
      <c r="H116" s="3060" t="s">
        <v>2294</v>
      </c>
      <c r="I116" s="3060"/>
    </row>
    <row r="117" spans="1:11" ht="18.75" customHeight="1">
      <c r="A117" s="3060"/>
      <c r="B117" s="3181"/>
      <c r="C117" s="3181"/>
      <c r="D117" s="2946" t="s">
        <v>2295</v>
      </c>
      <c r="E117" s="2946" t="s">
        <v>2296</v>
      </c>
      <c r="F117" s="2946" t="s">
        <v>2295</v>
      </c>
      <c r="G117" s="2946" t="s">
        <v>2297</v>
      </c>
      <c r="H117" s="2946" t="s">
        <v>2295</v>
      </c>
      <c r="I117" s="2946" t="s">
        <v>2297</v>
      </c>
    </row>
    <row r="118" spans="1:11" ht="24.75" customHeight="1">
      <c r="A118" s="2521" t="str">
        <f>项目基本情况!S2</f>
        <v>新疆维吾尔自治区塔城市新城区伊宁路1-5层部分办公用房房地产</v>
      </c>
      <c r="B118" s="2946">
        <f>M18</f>
        <v>2282.61</v>
      </c>
      <c r="C118" s="2946">
        <f>M19</f>
        <v>602</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1394</v>
      </c>
      <c r="I118" s="2946">
        <f ca="1">ROUND(IF(D32="楼面单价",C32,H118*10000/B118),0)</f>
        <v>6107</v>
      </c>
    </row>
    <row r="119" spans="1:11" ht="18.75" customHeight="1">
      <c r="A119" s="3060" t="s">
        <v>2298</v>
      </c>
      <c r="B119" s="3060"/>
      <c r="C119" s="3060"/>
      <c r="D119" s="3198" t="e">
        <f ca="1">NUMBERSTRING(INT(D118*10000),2)&amp;"元整"</f>
        <v>#REF!</v>
      </c>
      <c r="E119" s="3200"/>
      <c r="F119" s="3198" t="e">
        <f ca="1">NUMBERSTRING(INT(F118*10000),2)&amp;"元整"</f>
        <v>#REF!</v>
      </c>
      <c r="G119" s="3200"/>
      <c r="H119" s="3198" t="str">
        <f ca="1">NUMBERSTRING(INT(H118*10000),2)&amp;"元整"</f>
        <v>壹仟叁佰玖拾肆万元整</v>
      </c>
      <c r="I119" s="3200"/>
    </row>
    <row r="120" spans="1:11" ht="18.75" customHeight="1">
      <c r="A120" s="3202" t="str">
        <f>IF(项目基本情况!B9="房地产市场价值","",MID(E103,3,LEN(E103)-2))</f>
        <v/>
      </c>
      <c r="B120" s="3203"/>
      <c r="C120" s="3204"/>
      <c r="D120" s="3202">
        <f>H103</f>
        <v>0</v>
      </c>
      <c r="E120" s="3203"/>
      <c r="F120" s="3203"/>
      <c r="G120" s="3203"/>
      <c r="H120" s="3203"/>
      <c r="I120" s="3204"/>
      <c r="K120" s="2418" t="str">
        <f>IF(D120=0,"故，本次评估不存在"&amp;A120,"故，本次评估"&amp;A120&amp;"为人民币"&amp;D120&amp;"万元整。")</f>
        <v>故，本次评估不存在</v>
      </c>
    </row>
    <row r="121" spans="1:11" ht="18.75" customHeight="1">
      <c r="A121" s="3195" t="s">
        <v>2298</v>
      </c>
      <c r="B121" s="3196"/>
      <c r="C121" s="3197"/>
      <c r="D121" s="3198" t="str">
        <f>IF(D120=0,"零元整",NUMBERSTRING(INT(D120*10000),2)&amp;"元整")</f>
        <v>零元整</v>
      </c>
      <c r="E121" s="3199"/>
      <c r="F121" s="3199"/>
      <c r="G121" s="3199"/>
      <c r="H121" s="3199"/>
      <c r="I121" s="3200"/>
    </row>
    <row r="122" spans="1:11" ht="18.75" customHeight="1">
      <c r="A122" s="3201" t="str">
        <f>IF(项目基本情况!B9="房地产市场价值","",MID(E107,3,LEN(E107)-2))</f>
        <v/>
      </c>
      <c r="B122" s="3201"/>
      <c r="C122" s="3201"/>
      <c r="D122" s="3202">
        <f ca="1">H107</f>
        <v>1394</v>
      </c>
      <c r="E122" s="3203"/>
      <c r="F122" s="3203"/>
      <c r="G122" s="3203"/>
      <c r="H122" s="3203"/>
      <c r="I122" s="3204"/>
    </row>
    <row r="123" spans="1:11" ht="18.75" customHeight="1">
      <c r="A123" s="3060" t="s">
        <v>2298</v>
      </c>
      <c r="B123" s="3060"/>
      <c r="C123" s="3060"/>
      <c r="D123" s="3198" t="str">
        <f ca="1">NUMBERSTRING(INT(D122*10000),2)&amp;"元整"</f>
        <v>壹仟叁佰玖拾肆万元整</v>
      </c>
      <c r="E123" s="3199"/>
      <c r="F123" s="3199"/>
      <c r="G123" s="3199"/>
      <c r="H123" s="3199"/>
      <c r="I123" s="3200"/>
    </row>
    <row r="124" spans="1:11" ht="18.75" customHeight="1">
      <c r="A124" s="3201" t="str">
        <f>IF(项目基本情况!B9="房地产市场价值","",MID(E109,3,LEN(E109)-2))</f>
        <v/>
      </c>
      <c r="B124" s="3201"/>
      <c r="C124" s="3201"/>
      <c r="D124" s="3202" t="str">
        <f>H109</f>
        <v>——</v>
      </c>
      <c r="E124" s="3203"/>
      <c r="F124" s="3203"/>
      <c r="G124" s="3203"/>
      <c r="H124" s="3203"/>
      <c r="I124" s="3204"/>
    </row>
    <row r="125" spans="1:11" ht="18.75" customHeight="1">
      <c r="A125" s="3060" t="s">
        <v>2298</v>
      </c>
      <c r="B125" s="3060"/>
      <c r="C125" s="3060"/>
      <c r="D125" s="3198" t="e">
        <f>NUMBERSTRING(INT(D124*10000),2)&amp;"元整"</f>
        <v>#VALUE!</v>
      </c>
      <c r="E125" s="3199"/>
      <c r="F125" s="3199"/>
      <c r="G125" s="3199"/>
      <c r="H125" s="3199"/>
      <c r="I125" s="3200"/>
    </row>
    <row r="126" spans="1:11" ht="18.75" customHeight="1">
      <c r="A126" s="3201" t="str">
        <f>IF(项目基本情况!B9="房地产市场价值","",MID(E111,3,LEN(E111)-2))</f>
        <v/>
      </c>
      <c r="B126" s="3201"/>
      <c r="C126" s="3201"/>
      <c r="D126" s="3202" t="str">
        <f>H111</f>
        <v>——</v>
      </c>
      <c r="E126" s="3203"/>
      <c r="F126" s="3203"/>
      <c r="G126" s="3203"/>
      <c r="H126" s="3203"/>
      <c r="I126" s="3204"/>
    </row>
    <row r="127" spans="1:11" ht="18.75" customHeight="1">
      <c r="A127" s="3060" t="s">
        <v>2298</v>
      </c>
      <c r="B127" s="3060"/>
      <c r="C127" s="3060"/>
      <c r="D127" s="3198" t="e">
        <f>NUMBERSTRING(INT(D126*10000),2)&amp;"元整"</f>
        <v>#VALUE!</v>
      </c>
      <c r="E127" s="3199"/>
      <c r="F127" s="3199"/>
      <c r="G127" s="3199"/>
      <c r="H127" s="3199"/>
      <c r="I127" s="3200"/>
    </row>
    <row r="128" spans="1:11" ht="21.75" customHeight="1">
      <c r="A128" s="3205" t="s">
        <v>2299</v>
      </c>
      <c r="B128" s="3205"/>
      <c r="C128" s="3205"/>
      <c r="D128" s="3205"/>
      <c r="E128" s="3205"/>
      <c r="F128" s="3205"/>
      <c r="G128" s="3205"/>
      <c r="H128" s="3205"/>
      <c r="I128" s="3205"/>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C45" sqref="C4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2667</v>
      </c>
      <c r="C1" s="1622" t="s">
        <v>2511</v>
      </c>
      <c r="D1" s="1623" t="s">
        <v>27</v>
      </c>
      <c r="E1" s="1632"/>
      <c r="F1" s="2581" t="s">
        <v>3129</v>
      </c>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f>IF(C2="——",ROUND(C50*D3/10000,0),ROUND(C50*D3/10000,0)-D2)</f>
        <v>1648</v>
      </c>
      <c r="C2" s="2583" t="s">
        <v>70</v>
      </c>
      <c r="D2" s="1366"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f>IF(C2="——",C50,ROUND(B2*10000/D3,0))</f>
        <v>7221</v>
      </c>
      <c r="C3" s="400" t="s">
        <v>2625</v>
      </c>
      <c r="D3" s="399">
        <f>IF(D1="",'数据-汇总表'!E3,SUMIF('数据-汇总表'!$C19:$C33,D1,'数据-汇总表'!$E19:$E33))</f>
        <v>2282.61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28" t="s">
        <v>2632</v>
      </c>
      <c r="Q4" s="3229"/>
      <c r="R4" s="3234" t="s">
        <v>2628</v>
      </c>
      <c r="S4" s="3235"/>
      <c r="T4" s="3234" t="s">
        <v>2629</v>
      </c>
      <c r="U4" s="3235"/>
      <c r="V4" s="3240" t="s">
        <v>2630</v>
      </c>
      <c r="W4" s="3240"/>
      <c r="X4" s="2667"/>
      <c r="Y4" s="3234" t="s">
        <v>2632</v>
      </c>
      <c r="Z4" s="3235"/>
      <c r="AA4" s="3250" t="s">
        <v>2628</v>
      </c>
      <c r="AB4" s="3250" t="s">
        <v>2629</v>
      </c>
      <c r="AC4" s="3221" t="s">
        <v>2630</v>
      </c>
    </row>
    <row r="5" spans="1:29" ht="15">
      <c r="A5" s="404"/>
      <c r="B5" s="405"/>
      <c r="C5" s="3244" t="s">
        <v>3296</v>
      </c>
      <c r="D5" s="3245"/>
      <c r="E5" s="3253" t="s">
        <v>3297</v>
      </c>
      <c r="F5" s="3254"/>
      <c r="G5" s="3244" t="s">
        <v>3298</v>
      </c>
      <c r="H5" s="3245"/>
      <c r="I5" s="3244" t="s">
        <v>3309</v>
      </c>
      <c r="J5" s="3245"/>
      <c r="K5" s="610"/>
      <c r="L5" s="1131"/>
      <c r="M5" s="1132"/>
      <c r="N5" s="1132"/>
      <c r="O5" s="1132"/>
      <c r="P5" s="3230"/>
      <c r="Q5" s="3231"/>
      <c r="R5" s="3236"/>
      <c r="S5" s="3237"/>
      <c r="T5" s="3236"/>
      <c r="U5" s="3237"/>
      <c r="V5" s="3241"/>
      <c r="W5" s="3241"/>
      <c r="X5" s="1815"/>
      <c r="Y5" s="3236"/>
      <c r="Z5" s="3237"/>
      <c r="AA5" s="3251"/>
      <c r="AB5" s="3251"/>
      <c r="AC5" s="3222"/>
    </row>
    <row r="6" spans="1:29" ht="15.75" thickBot="1">
      <c r="A6" s="406"/>
      <c r="B6" s="407"/>
      <c r="C6" s="3242" t="s">
        <v>2778</v>
      </c>
      <c r="D6" s="3243"/>
      <c r="E6" s="3242" t="s">
        <v>2778</v>
      </c>
      <c r="F6" s="3243"/>
      <c r="G6" s="3242" t="s">
        <v>2778</v>
      </c>
      <c r="H6" s="3243"/>
      <c r="I6" s="3242" t="s">
        <v>2778</v>
      </c>
      <c r="J6" s="3243"/>
      <c r="K6" s="610" t="s">
        <v>2528</v>
      </c>
      <c r="L6" s="1131"/>
      <c r="M6" s="1132"/>
      <c r="N6" s="1132"/>
      <c r="O6" s="1132"/>
      <c r="P6" s="3232"/>
      <c r="Q6" s="3233"/>
      <c r="R6" s="3236"/>
      <c r="S6" s="3237"/>
      <c r="T6" s="3238"/>
      <c r="U6" s="3239"/>
      <c r="V6" s="3241"/>
      <c r="W6" s="3241"/>
      <c r="X6" s="1815"/>
      <c r="Y6" s="3238"/>
      <c r="Z6" s="3239"/>
      <c r="AA6" s="3252"/>
      <c r="AB6" s="3252"/>
      <c r="AC6" s="3223"/>
    </row>
    <row r="7" spans="1:29" s="117" customFormat="1" ht="15.75" thickBot="1">
      <c r="A7" s="408" t="s">
        <v>2529</v>
      </c>
      <c r="B7" s="409"/>
      <c r="C7" s="410">
        <f>'数据-取费表'!B2</f>
        <v>43069</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46" t="s">
        <v>2530</v>
      </c>
      <c r="Q7" s="3249"/>
      <c r="R7" s="769" t="s">
        <v>17</v>
      </c>
      <c r="S7" s="770">
        <f t="shared" ref="S7:S15" si="0">F7</f>
        <v>100</v>
      </c>
      <c r="T7" s="769" t="s">
        <v>17</v>
      </c>
      <c r="U7" s="770">
        <f t="shared" ref="U7:U15" si="1">H7</f>
        <v>100</v>
      </c>
      <c r="V7" s="769" t="s">
        <v>17</v>
      </c>
      <c r="W7" s="770">
        <f t="shared" ref="W7:W15" si="2">J7</f>
        <v>100</v>
      </c>
      <c r="X7" s="771"/>
      <c r="Y7" s="3248" t="s">
        <v>2530</v>
      </c>
      <c r="Z7" s="3247"/>
      <c r="AA7" s="772">
        <f>D7/F7</f>
        <v>1</v>
      </c>
      <c r="AB7" s="772">
        <f>D7/H7</f>
        <v>1</v>
      </c>
      <c r="AC7" s="2668">
        <f>D7/J7</f>
        <v>1</v>
      </c>
    </row>
    <row r="8" spans="1:29" s="117" customFormat="1" ht="15.75" thickBot="1">
      <c r="A8" s="408" t="s">
        <v>2531</v>
      </c>
      <c r="B8" s="409"/>
      <c r="C8" s="414" t="s">
        <v>2633</v>
      </c>
      <c r="D8" s="411">
        <v>100</v>
      </c>
      <c r="E8" s="414" t="s">
        <v>3029</v>
      </c>
      <c r="F8" s="413">
        <f>SUMIF(62:62,E8,63:63)-SUMIF(62:62,C8,63:63)+100</f>
        <v>100</v>
      </c>
      <c r="G8" s="414" t="s">
        <v>3029</v>
      </c>
      <c r="H8" s="411">
        <f>SUMIF(62:62,G8,63:63)-SUMIF(62:62,C8,63:63)+100</f>
        <v>100</v>
      </c>
      <c r="I8" s="414" t="s">
        <v>3029</v>
      </c>
      <c r="J8" s="411">
        <f>SUMIF(62:62,I8,63:63)-SUMIF(62:62,C8,63:63)+100</f>
        <v>100</v>
      </c>
      <c r="K8" s="611"/>
      <c r="L8" s="1133"/>
      <c r="M8" s="1134"/>
      <c r="N8" s="1134"/>
      <c r="O8" s="1134"/>
      <c r="P8" s="3246" t="s">
        <v>2533</v>
      </c>
      <c r="Q8" s="3247"/>
      <c r="R8" s="769" t="s">
        <v>17</v>
      </c>
      <c r="S8" s="770">
        <f t="shared" si="0"/>
        <v>100</v>
      </c>
      <c r="T8" s="769" t="s">
        <v>17</v>
      </c>
      <c r="U8" s="770">
        <f t="shared" si="1"/>
        <v>100</v>
      </c>
      <c r="V8" s="769" t="s">
        <v>17</v>
      </c>
      <c r="W8" s="770">
        <f t="shared" si="2"/>
        <v>100</v>
      </c>
      <c r="X8" s="771"/>
      <c r="Y8" s="3248" t="s">
        <v>2533</v>
      </c>
      <c r="Z8" s="3247"/>
      <c r="AA8" s="772">
        <f t="shared" ref="AA8:AA47" si="3">D8/F8</f>
        <v>1</v>
      </c>
      <c r="AB8" s="772">
        <f t="shared" ref="AB8:AB47" si="4">D8/H8</f>
        <v>1</v>
      </c>
      <c r="AC8" s="2668">
        <f t="shared" ref="AC8:AC47" si="5">D8/J8</f>
        <v>1</v>
      </c>
    </row>
    <row r="9" spans="1:29" s="117" customFormat="1">
      <c r="A9" s="415" t="s">
        <v>2534</v>
      </c>
      <c r="B9" s="71" t="s">
        <v>2535</v>
      </c>
      <c r="C9" s="2983" t="s">
        <v>3130</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2668">
        <f t="shared" si="5"/>
        <v>1</v>
      </c>
    </row>
    <row r="10" spans="1:29" s="427" customFormat="1" ht="27.75" thickBot="1">
      <c r="A10" s="421"/>
      <c r="B10" s="422" t="s">
        <v>2538</v>
      </c>
      <c r="C10" s="423" t="s">
        <v>3299</v>
      </c>
      <c r="D10" s="136">
        <v>100</v>
      </c>
      <c r="E10" s="423" t="s">
        <v>3201</v>
      </c>
      <c r="F10" s="136">
        <f>SUMIF(66:66,E10,67:67)-SUMIF(66:66,C10,67:67)+100</f>
        <v>101</v>
      </c>
      <c r="G10" s="424" t="s">
        <v>3201</v>
      </c>
      <c r="H10" s="136">
        <f>SUMIF(66:66,G10,67:67)-SUMIF(66:66,C10,67:67)+100</f>
        <v>101</v>
      </c>
      <c r="I10" s="423" t="s">
        <v>3132</v>
      </c>
      <c r="J10" s="136">
        <f>SUMIF(66:66,I10,67:67)-SUMIF(66:66,C10,67:67)+100</f>
        <v>102</v>
      </c>
      <c r="K10" s="612">
        <v>1</v>
      </c>
      <c r="L10" s="1136"/>
      <c r="M10" s="1137"/>
      <c r="N10" s="1137"/>
      <c r="O10" s="1137"/>
      <c r="P10" s="3206"/>
      <c r="Q10" s="1797" t="str">
        <f t="shared" si="6"/>
        <v>土地使用年限（年）</v>
      </c>
      <c r="R10" s="769" t="s">
        <v>17</v>
      </c>
      <c r="S10" s="770">
        <f t="shared" si="0"/>
        <v>101</v>
      </c>
      <c r="T10" s="769" t="s">
        <v>17</v>
      </c>
      <c r="U10" s="770">
        <f t="shared" si="1"/>
        <v>101</v>
      </c>
      <c r="V10" s="769" t="s">
        <v>17</v>
      </c>
      <c r="W10" s="770">
        <f t="shared" si="2"/>
        <v>102</v>
      </c>
      <c r="X10" s="771"/>
      <c r="Y10" s="3060"/>
      <c r="Z10" s="55" t="str">
        <f t="shared" si="7"/>
        <v>土地使用年限（年）</v>
      </c>
      <c r="AA10" s="772">
        <f t="shared" si="3"/>
        <v>0.99009900990099009</v>
      </c>
      <c r="AB10" s="772">
        <f t="shared" si="4"/>
        <v>0.99009900990099009</v>
      </c>
      <c r="AC10" s="2668">
        <f t="shared" si="5"/>
        <v>0.98039215686274506</v>
      </c>
    </row>
    <row r="11" spans="1:29" ht="15.75" hidden="1" thickBot="1">
      <c r="A11" s="428"/>
      <c r="B11" s="422" t="s">
        <v>2539</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06"/>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06"/>
      <c r="Q12" s="1797">
        <f t="shared" si="6"/>
        <v>0</v>
      </c>
      <c r="R12" s="769" t="s">
        <v>17</v>
      </c>
      <c r="S12" s="770">
        <f t="shared" si="0"/>
        <v>100</v>
      </c>
      <c r="T12" s="769" t="s">
        <v>17</v>
      </c>
      <c r="U12" s="770">
        <f t="shared" si="1"/>
        <v>100</v>
      </c>
      <c r="V12" s="769" t="s">
        <v>17</v>
      </c>
      <c r="W12" s="770">
        <f t="shared" si="2"/>
        <v>100</v>
      </c>
      <c r="X12" s="771"/>
      <c r="Y12" s="3060"/>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06"/>
      <c r="Q13" s="1797">
        <f t="shared" si="6"/>
        <v>0</v>
      </c>
      <c r="R13" s="769" t="s">
        <v>17</v>
      </c>
      <c r="S13" s="770">
        <f t="shared" si="0"/>
        <v>100</v>
      </c>
      <c r="T13" s="769" t="s">
        <v>17</v>
      </c>
      <c r="U13" s="770">
        <f t="shared" si="1"/>
        <v>100</v>
      </c>
      <c r="V13" s="769" t="s">
        <v>17</v>
      </c>
      <c r="W13" s="770">
        <f t="shared" si="2"/>
        <v>100</v>
      </c>
      <c r="X13" s="771"/>
      <c r="Y13" s="3060"/>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06"/>
      <c r="Q14" s="1797">
        <f t="shared" si="6"/>
        <v>0</v>
      </c>
      <c r="R14" s="769" t="s">
        <v>17</v>
      </c>
      <c r="S14" s="770">
        <f t="shared" si="0"/>
        <v>100</v>
      </c>
      <c r="T14" s="769" t="s">
        <v>17</v>
      </c>
      <c r="U14" s="770">
        <f t="shared" si="1"/>
        <v>100</v>
      </c>
      <c r="V14" s="769" t="s">
        <v>17</v>
      </c>
      <c r="W14" s="770">
        <f t="shared" si="2"/>
        <v>100</v>
      </c>
      <c r="X14" s="771"/>
      <c r="Y14" s="3060"/>
      <c r="Z14" s="55">
        <f t="shared" si="7"/>
        <v>0</v>
      </c>
      <c r="AA14" s="772">
        <f t="shared" si="3"/>
        <v>1</v>
      </c>
      <c r="AB14" s="772">
        <f t="shared" si="4"/>
        <v>1</v>
      </c>
      <c r="AC14" s="2668">
        <f t="shared" si="5"/>
        <v>1</v>
      </c>
    </row>
    <row r="15" spans="1:29" ht="15">
      <c r="A15" s="440" t="s">
        <v>2540</v>
      </c>
      <c r="B15" s="629" t="s">
        <v>2668</v>
      </c>
      <c r="C15" s="2670" t="str">
        <f>估价对象房地状况!C5</f>
        <v>一般</v>
      </c>
      <c r="D15" s="441">
        <v>100</v>
      </c>
      <c r="E15" s="2987"/>
      <c r="F15" s="441">
        <f>SUMIF(77:77,E16,78:78)-SUMIF(77:77,C16,78:78)+100</f>
        <v>100</v>
      </c>
      <c r="G15" s="2988"/>
      <c r="H15" s="441">
        <f>SUMIF(77:77,G16,78:78)-SUMIF(77:77,C16,78:78)+100</f>
        <v>100</v>
      </c>
      <c r="I15" s="442"/>
      <c r="J15" s="441">
        <f>SUMIF(77:77,I16,78:78)-SUMIF(77:77,C16,78:78)+100</f>
        <v>100</v>
      </c>
      <c r="K15" s="614">
        <v>5</v>
      </c>
      <c r="L15" s="1141"/>
      <c r="M15" s="1132"/>
      <c r="N15" s="1132"/>
      <c r="O15" s="1132"/>
      <c r="P15" s="3212" t="s">
        <v>2541</v>
      </c>
      <c r="Q15" s="1812" t="str">
        <f t="shared" si="6"/>
        <v>办公集聚程度</v>
      </c>
      <c r="R15" s="773" t="s">
        <v>17</v>
      </c>
      <c r="S15" s="774">
        <f t="shared" si="0"/>
        <v>100</v>
      </c>
      <c r="T15" s="773" t="s">
        <v>17</v>
      </c>
      <c r="U15" s="774">
        <f t="shared" si="1"/>
        <v>100</v>
      </c>
      <c r="V15" s="773" t="s">
        <v>17</v>
      </c>
      <c r="W15" s="774">
        <f t="shared" si="2"/>
        <v>100</v>
      </c>
      <c r="X15" s="1815"/>
      <c r="Y15" s="3214" t="s">
        <v>2541</v>
      </c>
      <c r="Z15" s="1816" t="str">
        <f t="shared" si="7"/>
        <v>办公集聚程度</v>
      </c>
      <c r="AA15" s="1813">
        <f t="shared" si="3"/>
        <v>1</v>
      </c>
      <c r="AB15" s="1813">
        <f t="shared" si="4"/>
        <v>1</v>
      </c>
      <c r="AC15" s="2671">
        <f t="shared" si="5"/>
        <v>1</v>
      </c>
    </row>
    <row r="16" spans="1:29" ht="15">
      <c r="A16" s="428"/>
      <c r="B16" s="630"/>
      <c r="C16" s="2608" t="s">
        <v>3133</v>
      </c>
      <c r="D16" s="448"/>
      <c r="E16" s="447" t="s">
        <v>3133</v>
      </c>
      <c r="F16" s="448"/>
      <c r="G16" s="2608" t="s">
        <v>3133</v>
      </c>
      <c r="H16" s="450"/>
      <c r="I16" s="447" t="s">
        <v>3133</v>
      </c>
      <c r="J16" s="448"/>
      <c r="K16" s="615"/>
      <c r="L16" s="1141"/>
      <c r="M16" s="1132"/>
      <c r="N16" s="1132"/>
      <c r="O16" s="1132"/>
      <c r="P16" s="3213"/>
      <c r="Q16" s="1812"/>
      <c r="R16" s="773"/>
      <c r="S16" s="774"/>
      <c r="T16" s="773"/>
      <c r="U16" s="774"/>
      <c r="V16" s="773"/>
      <c r="W16" s="774"/>
      <c r="X16" s="1815"/>
      <c r="Y16" s="3215"/>
      <c r="Z16" s="1816"/>
      <c r="AA16" s="1813">
        <v>1</v>
      </c>
      <c r="AB16" s="1813">
        <v>1</v>
      </c>
      <c r="AC16" s="2671">
        <v>1</v>
      </c>
    </row>
    <row r="17" spans="1:29" ht="14.25" customHeight="1">
      <c r="A17" s="428"/>
      <c r="B17" s="631" t="s">
        <v>2080</v>
      </c>
      <c r="C17" s="2672" t="str">
        <f>估价对象房地状况!C6</f>
        <v>一般</v>
      </c>
      <c r="D17" s="450">
        <v>100</v>
      </c>
      <c r="E17" s="2992"/>
      <c r="F17" s="450">
        <f>SUMIF(79:79,E18,80:80)-SUMIF(79:79,C18,80:80)+100</f>
        <v>98</v>
      </c>
      <c r="G17" s="2990"/>
      <c r="H17" s="455">
        <f>SUMIF(79:79,G18,80:80)-SUMIF(79:79,C18,80:80)+100</f>
        <v>98</v>
      </c>
      <c r="I17" s="452"/>
      <c r="J17" s="455">
        <f>SUMIF(79:79,I18,80:80)-SUMIF(79:79,C18,80:80)+100</f>
        <v>100</v>
      </c>
      <c r="K17" s="614">
        <v>2</v>
      </c>
      <c r="L17" s="1141"/>
      <c r="M17" s="1132"/>
      <c r="N17" s="1132"/>
      <c r="O17" s="1132"/>
      <c r="P17" s="3213"/>
      <c r="Q17" s="1812" t="str">
        <f>B17</f>
        <v>交通便捷度</v>
      </c>
      <c r="R17" s="773" t="s">
        <v>17</v>
      </c>
      <c r="S17" s="774">
        <f>F17</f>
        <v>98</v>
      </c>
      <c r="T17" s="773" t="s">
        <v>17</v>
      </c>
      <c r="U17" s="774">
        <f>H17</f>
        <v>98</v>
      </c>
      <c r="V17" s="773" t="s">
        <v>17</v>
      </c>
      <c r="W17" s="774">
        <f>J17</f>
        <v>100</v>
      </c>
      <c r="X17" s="1815"/>
      <c r="Y17" s="3215"/>
      <c r="Z17" s="1816" t="str">
        <f>Q17</f>
        <v>交通便捷度</v>
      </c>
      <c r="AA17" s="1813">
        <f t="shared" si="3"/>
        <v>1.0204081632653061</v>
      </c>
      <c r="AB17" s="1813">
        <f t="shared" si="4"/>
        <v>1.0204081632653061</v>
      </c>
      <c r="AC17" s="2671">
        <f t="shared" si="5"/>
        <v>1</v>
      </c>
    </row>
    <row r="18" spans="1:29" ht="15">
      <c r="A18" s="428"/>
      <c r="B18" s="632"/>
      <c r="C18" s="2673" t="s">
        <v>3133</v>
      </c>
      <c r="D18" s="450"/>
      <c r="E18" s="2605" t="s">
        <v>3174</v>
      </c>
      <c r="F18" s="450"/>
      <c r="G18" s="2607" t="s">
        <v>3174</v>
      </c>
      <c r="H18" s="448"/>
      <c r="I18" s="2607" t="s">
        <v>3133</v>
      </c>
      <c r="J18" s="448"/>
      <c r="K18" s="615"/>
      <c r="L18" s="1141"/>
      <c r="M18" s="1132"/>
      <c r="N18" s="1132"/>
      <c r="O18" s="1132"/>
      <c r="P18" s="3213"/>
      <c r="Q18" s="1812"/>
      <c r="R18" s="773"/>
      <c r="S18" s="774"/>
      <c r="T18" s="773"/>
      <c r="U18" s="774"/>
      <c r="V18" s="773"/>
      <c r="W18" s="774"/>
      <c r="X18" s="1815"/>
      <c r="Y18" s="3215"/>
      <c r="Z18" s="1816"/>
      <c r="AA18" s="1813">
        <v>1</v>
      </c>
      <c r="AB18" s="1813">
        <v>1</v>
      </c>
      <c r="AC18" s="2671">
        <v>1</v>
      </c>
    </row>
    <row r="19" spans="1:29" ht="15">
      <c r="A19" s="428"/>
      <c r="B19" s="631" t="s">
        <v>2669</v>
      </c>
      <c r="C19" s="2672" t="str">
        <f>估价对象房地状况!C7</f>
        <v>较齐备</v>
      </c>
      <c r="D19" s="455">
        <v>100</v>
      </c>
      <c r="E19" s="2993"/>
      <c r="F19" s="455">
        <f>SUMIF(81:81,E20,82:82)-SUMIF(81:81,C20,82:82)+100</f>
        <v>98</v>
      </c>
      <c r="G19" s="2994"/>
      <c r="H19" s="450">
        <f>SUMIF(81:81,G20,82:82)-SUMIF(81:81,C20,82:82)+100</f>
        <v>98</v>
      </c>
      <c r="I19" s="457"/>
      <c r="J19" s="450">
        <f>SUMIF(81:81,I20,82:82)-SUMIF(81:81,C20,82:82)+100</f>
        <v>100</v>
      </c>
      <c r="K19" s="614">
        <v>2</v>
      </c>
      <c r="L19" s="1141"/>
      <c r="M19" s="1132"/>
      <c r="N19" s="1132"/>
      <c r="O19" s="1132"/>
      <c r="P19" s="3213"/>
      <c r="Q19" s="1812" t="str">
        <f>B19</f>
        <v>公共配套设施</v>
      </c>
      <c r="R19" s="773" t="s">
        <v>17</v>
      </c>
      <c r="S19" s="774">
        <f>F19</f>
        <v>98</v>
      </c>
      <c r="T19" s="773" t="s">
        <v>17</v>
      </c>
      <c r="U19" s="774">
        <f>H19</f>
        <v>98</v>
      </c>
      <c r="V19" s="773" t="s">
        <v>17</v>
      </c>
      <c r="W19" s="774">
        <f>J19</f>
        <v>100</v>
      </c>
      <c r="X19" s="1815"/>
      <c r="Y19" s="3215"/>
      <c r="Z19" s="1816" t="str">
        <f>Q19</f>
        <v>公共配套设施</v>
      </c>
      <c r="AA19" s="1813">
        <f t="shared" si="3"/>
        <v>1.0204081632653061</v>
      </c>
      <c r="AB19" s="1813">
        <f t="shared" si="4"/>
        <v>1.0204081632653061</v>
      </c>
      <c r="AC19" s="2671">
        <f t="shared" si="5"/>
        <v>1</v>
      </c>
    </row>
    <row r="20" spans="1:29" ht="15">
      <c r="A20" s="428"/>
      <c r="B20" s="632"/>
      <c r="C20" s="2608" t="s">
        <v>3134</v>
      </c>
      <c r="D20" s="448"/>
      <c r="E20" s="2601" t="s">
        <v>3133</v>
      </c>
      <c r="F20" s="448"/>
      <c r="G20" s="2602" t="s">
        <v>3133</v>
      </c>
      <c r="H20" s="448"/>
      <c r="I20" s="2602" t="s">
        <v>3134</v>
      </c>
      <c r="J20" s="448"/>
      <c r="K20" s="615"/>
      <c r="L20" s="1141"/>
      <c r="M20" s="1132"/>
      <c r="N20" s="1132"/>
      <c r="O20" s="1132"/>
      <c r="P20" s="3213"/>
      <c r="Q20" s="1812"/>
      <c r="R20" s="773"/>
      <c r="S20" s="774"/>
      <c r="T20" s="773"/>
      <c r="U20" s="774"/>
      <c r="V20" s="773"/>
      <c r="W20" s="774"/>
      <c r="X20" s="1815"/>
      <c r="Y20" s="3215"/>
      <c r="Z20" s="1816"/>
      <c r="AA20" s="1813">
        <v>1</v>
      </c>
      <c r="AB20" s="1813">
        <v>1</v>
      </c>
      <c r="AC20" s="2671">
        <v>1</v>
      </c>
    </row>
    <row r="21" spans="1:29" ht="15">
      <c r="A21" s="428"/>
      <c r="B21" s="633" t="s">
        <v>2670</v>
      </c>
      <c r="C21" s="2672" t="str">
        <f>估价对象房地状况!C8</f>
        <v>七通</v>
      </c>
      <c r="D21" s="450">
        <v>100</v>
      </c>
      <c r="E21" s="2993" t="s">
        <v>3165</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2671">
        <f t="shared" ref="AC21" si="10">D21/J21</f>
        <v>1</v>
      </c>
    </row>
    <row r="22" spans="1:29" ht="15">
      <c r="A22" s="428"/>
      <c r="B22" s="633"/>
      <c r="C22" s="2673" t="s">
        <v>3123</v>
      </c>
      <c r="D22" s="448"/>
      <c r="E22" s="447" t="s">
        <v>3123</v>
      </c>
      <c r="F22" s="448"/>
      <c r="G22" s="2608" t="s">
        <v>3123</v>
      </c>
      <c r="H22" s="448"/>
      <c r="I22" s="2608" t="s">
        <v>3123</v>
      </c>
      <c r="J22" s="448"/>
      <c r="K22" s="1384"/>
      <c r="L22" s="1141"/>
      <c r="M22" s="1132"/>
      <c r="N22" s="1132"/>
      <c r="O22" s="1132"/>
      <c r="P22" s="3213"/>
      <c r="Q22" s="1812"/>
      <c r="R22" s="773"/>
      <c r="S22" s="774"/>
      <c r="T22" s="773"/>
      <c r="U22" s="774"/>
      <c r="V22" s="773"/>
      <c r="W22" s="774"/>
      <c r="X22" s="1815"/>
      <c r="Y22" s="3215"/>
      <c r="Z22" s="1816"/>
      <c r="AA22" s="1813">
        <v>1</v>
      </c>
      <c r="AB22" s="1813">
        <v>1</v>
      </c>
      <c r="AC22" s="2671">
        <v>1</v>
      </c>
    </row>
    <row r="23" spans="1:29" ht="15">
      <c r="A23" s="428"/>
      <c r="B23" s="631" t="s">
        <v>2671</v>
      </c>
      <c r="C23" s="2672" t="str">
        <f>估价对象房地状况!C9</f>
        <v>一般</v>
      </c>
      <c r="D23" s="450">
        <v>100</v>
      </c>
      <c r="E23" s="2989"/>
      <c r="F23" s="450">
        <f>SUMIF(85:85,E24,86:86)-SUMIF(85:85,C24,86:86)+100</f>
        <v>100</v>
      </c>
      <c r="G23" s="2990"/>
      <c r="H23" s="450">
        <f>SUMIF(85:85,G24,86:86)-SUMIF(85:85,C24,86:86)+100</f>
        <v>100</v>
      </c>
      <c r="I23" s="452"/>
      <c r="J23" s="450">
        <f>SUMIF(85:85,I24,86:86)-SUMIF(85:85,C24,86:86)+100</f>
        <v>100</v>
      </c>
      <c r="K23" s="614">
        <v>2</v>
      </c>
      <c r="L23" s="1141"/>
      <c r="M23" s="1132"/>
      <c r="N23" s="1132"/>
      <c r="O23" s="1132"/>
      <c r="P23" s="3213"/>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2671">
        <f t="shared" si="5"/>
        <v>1</v>
      </c>
    </row>
    <row r="24" spans="1:29" ht="15">
      <c r="A24" s="428"/>
      <c r="B24" s="633"/>
      <c r="C24" s="2608" t="s">
        <v>3133</v>
      </c>
      <c r="D24" s="448"/>
      <c r="E24" s="2601" t="s">
        <v>3133</v>
      </c>
      <c r="F24" s="448"/>
      <c r="G24" s="2602" t="s">
        <v>3133</v>
      </c>
      <c r="H24" s="448"/>
      <c r="I24" s="2602" t="s">
        <v>3133</v>
      </c>
      <c r="J24" s="448"/>
      <c r="K24" s="615"/>
      <c r="L24" s="1141"/>
      <c r="M24" s="1132"/>
      <c r="N24" s="1132"/>
      <c r="O24" s="1132"/>
      <c r="P24" s="3213"/>
      <c r="Q24" s="1812"/>
      <c r="R24" s="773"/>
      <c r="S24" s="774"/>
      <c r="T24" s="773"/>
      <c r="U24" s="774"/>
      <c r="V24" s="773"/>
      <c r="W24" s="774"/>
      <c r="X24" s="1815"/>
      <c r="Y24" s="3215"/>
      <c r="Z24" s="1816"/>
      <c r="AA24" s="1813">
        <v>1</v>
      </c>
      <c r="AB24" s="1813">
        <v>1</v>
      </c>
      <c r="AC24" s="2671">
        <v>1</v>
      </c>
    </row>
    <row r="25" spans="1:29" ht="27">
      <c r="A25" s="404"/>
      <c r="B25" s="631" t="s">
        <v>2672</v>
      </c>
      <c r="C25" s="2995" t="s">
        <v>3175</v>
      </c>
      <c r="D25" s="435">
        <v>100</v>
      </c>
      <c r="E25" s="434" t="str">
        <f>C25</f>
        <v>主干道</v>
      </c>
      <c r="F25" s="435">
        <f>SUMIF(87:87,E26,88:88)-SUMIF(87:87,C26,88:88)+100</f>
        <v>100</v>
      </c>
      <c r="G25" s="2612" t="str">
        <f>C25</f>
        <v>主干道</v>
      </c>
      <c r="H25" s="435">
        <f>SUMIF(87:87,G26,88:88)-SUMIF(87:87,C26,88:88)+100</f>
        <v>100</v>
      </c>
      <c r="I25" s="434" t="str">
        <f>C25</f>
        <v>主干道</v>
      </c>
      <c r="J25" s="435">
        <f>SUMIF(87:87,I26,88:88)-SUMIF(87:87,C26,88:88)+100</f>
        <v>100</v>
      </c>
      <c r="K25" s="614">
        <v>1</v>
      </c>
      <c r="L25" s="1141"/>
      <c r="M25" s="1132"/>
      <c r="N25" s="1132"/>
      <c r="O25" s="1132"/>
      <c r="P25" s="3213"/>
      <c r="Q25" s="1812" t="str">
        <f>B25</f>
        <v>毗邻道路的类型与等级</v>
      </c>
      <c r="R25" s="773" t="s">
        <v>17</v>
      </c>
      <c r="S25" s="774">
        <f>F25</f>
        <v>100</v>
      </c>
      <c r="T25" s="773" t="s">
        <v>17</v>
      </c>
      <c r="U25" s="774">
        <f>H25</f>
        <v>100</v>
      </c>
      <c r="V25" s="773" t="s">
        <v>17</v>
      </c>
      <c r="W25" s="774">
        <f>J25</f>
        <v>100</v>
      </c>
      <c r="X25" s="1815"/>
      <c r="Y25" s="3215"/>
      <c r="Z25" s="1816" t="str">
        <f>Q25</f>
        <v>毗邻道路的类型与等级</v>
      </c>
      <c r="AA25" s="1813">
        <f t="shared" si="3"/>
        <v>1</v>
      </c>
      <c r="AB25" s="1813">
        <f t="shared" si="4"/>
        <v>1</v>
      </c>
      <c r="AC25" s="2671">
        <f t="shared" si="5"/>
        <v>1</v>
      </c>
    </row>
    <row r="26" spans="1:29" ht="15">
      <c r="A26" s="404"/>
      <c r="B26" s="632"/>
      <c r="C26" s="634" t="s">
        <v>3138</v>
      </c>
      <c r="D26" s="435"/>
      <c r="E26" s="616" t="s">
        <v>3138</v>
      </c>
      <c r="F26" s="435"/>
      <c r="G26" s="634" t="s">
        <v>3138</v>
      </c>
      <c r="H26" s="435"/>
      <c r="I26" s="616" t="s">
        <v>3138</v>
      </c>
      <c r="J26" s="435"/>
      <c r="K26" s="615"/>
      <c r="L26" s="1141"/>
      <c r="M26" s="1132"/>
      <c r="N26" s="1132"/>
      <c r="O26" s="1132"/>
      <c r="P26" s="3213"/>
      <c r="Q26" s="1812"/>
      <c r="R26" s="773"/>
      <c r="S26" s="774"/>
      <c r="T26" s="773"/>
      <c r="U26" s="774"/>
      <c r="V26" s="773"/>
      <c r="W26" s="774"/>
      <c r="X26" s="1815"/>
      <c r="Y26" s="3215"/>
      <c r="Z26" s="1816"/>
      <c r="AA26" s="1813">
        <v>1</v>
      </c>
      <c r="AB26" s="1813">
        <v>1</v>
      </c>
      <c r="AC26" s="2671">
        <v>1</v>
      </c>
    </row>
    <row r="27" spans="1:29" ht="15.75" thickBot="1">
      <c r="A27" s="428"/>
      <c r="B27" s="632" t="s">
        <v>2640</v>
      </c>
      <c r="C27" s="634" t="s">
        <v>3145</v>
      </c>
      <c r="D27" s="435">
        <v>100</v>
      </c>
      <c r="E27" s="616" t="s">
        <v>3145</v>
      </c>
      <c r="F27" s="435">
        <f>SUMIF(89:89,E27,90:90)-SUMIF(89:89,C27,90:90)+100</f>
        <v>100</v>
      </c>
      <c r="G27" s="634" t="s">
        <v>3300</v>
      </c>
      <c r="H27" s="435">
        <f>SUMIF(89:89,G27,90:90)-SUMIF(89:89,C27,90:90)+100</f>
        <v>98</v>
      </c>
      <c r="I27" s="616" t="s">
        <v>3143</v>
      </c>
      <c r="J27" s="435">
        <f>SUMIF(89:89,I27,90:90)-SUMIF(89:89,C27,90:90)+100</f>
        <v>102</v>
      </c>
      <c r="K27" s="612">
        <v>2</v>
      </c>
      <c r="L27" s="1141"/>
      <c r="M27" s="1132"/>
      <c r="N27" s="1132"/>
      <c r="O27" s="1132"/>
      <c r="P27" s="3213"/>
      <c r="Q27" s="1812" t="str">
        <f t="shared" ref="Q27:Q47" si="11">B27</f>
        <v>楼层</v>
      </c>
      <c r="R27" s="773" t="s">
        <v>17</v>
      </c>
      <c r="S27" s="774">
        <f>F27</f>
        <v>100</v>
      </c>
      <c r="T27" s="773" t="s">
        <v>17</v>
      </c>
      <c r="U27" s="774">
        <f>H27</f>
        <v>98</v>
      </c>
      <c r="V27" s="773" t="s">
        <v>17</v>
      </c>
      <c r="W27" s="774">
        <f>J27</f>
        <v>102</v>
      </c>
      <c r="X27" s="1815"/>
      <c r="Y27" s="3215"/>
      <c r="Z27" s="1816" t="str">
        <f>Q27</f>
        <v>楼层</v>
      </c>
      <c r="AA27" s="1813">
        <f t="shared" si="3"/>
        <v>1</v>
      </c>
      <c r="AB27" s="1813">
        <f t="shared" si="4"/>
        <v>1.0204081632653061</v>
      </c>
      <c r="AC27" s="2671">
        <f t="shared" si="5"/>
        <v>0.98039215686274506</v>
      </c>
    </row>
    <row r="28" spans="1:29" s="117" customFormat="1" ht="15.75" hidden="1" thickBot="1">
      <c r="A28" s="431"/>
      <c r="B28" s="631" t="s">
        <v>2673</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13"/>
      <c r="Q28" s="1797" t="str">
        <f t="shared" si="11"/>
        <v>朝向</v>
      </c>
      <c r="R28" s="769" t="s">
        <v>17</v>
      </c>
      <c r="S28" s="770">
        <f>F28</f>
        <v>100</v>
      </c>
      <c r="T28" s="769" t="s">
        <v>17</v>
      </c>
      <c r="U28" s="770">
        <f>H28</f>
        <v>100</v>
      </c>
      <c r="V28" s="769" t="s">
        <v>17</v>
      </c>
      <c r="W28" s="770">
        <f>J28</f>
        <v>100</v>
      </c>
      <c r="X28" s="771"/>
      <c r="Y28" s="3215"/>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13"/>
      <c r="Q29" s="1812">
        <f t="shared" si="11"/>
        <v>111</v>
      </c>
      <c r="R29" s="773" t="s">
        <v>17</v>
      </c>
      <c r="S29" s="774">
        <f t="shared" ref="S29:S47" si="12">F29</f>
        <v>100</v>
      </c>
      <c r="T29" s="773" t="s">
        <v>17</v>
      </c>
      <c r="U29" s="774">
        <f t="shared" ref="U29:U47" si="13">H29</f>
        <v>100</v>
      </c>
      <c r="V29" s="773" t="s">
        <v>17</v>
      </c>
      <c r="W29" s="774">
        <f t="shared" ref="W29:W47" si="14">J29</f>
        <v>100</v>
      </c>
      <c r="X29" s="1815"/>
      <c r="Y29" s="3215"/>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13"/>
      <c r="Q30" s="1812">
        <f t="shared" si="11"/>
        <v>111</v>
      </c>
      <c r="R30" s="773" t="s">
        <v>17</v>
      </c>
      <c r="S30" s="774">
        <f t="shared" si="12"/>
        <v>100</v>
      </c>
      <c r="T30" s="773" t="s">
        <v>17</v>
      </c>
      <c r="U30" s="774">
        <f t="shared" si="13"/>
        <v>100</v>
      </c>
      <c r="V30" s="773" t="s">
        <v>17</v>
      </c>
      <c r="W30" s="774">
        <f t="shared" si="14"/>
        <v>100</v>
      </c>
      <c r="X30" s="1815"/>
      <c r="Y30" s="3215"/>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13"/>
      <c r="Q31" s="1812">
        <f t="shared" si="11"/>
        <v>111</v>
      </c>
      <c r="R31" s="773" t="s">
        <v>17</v>
      </c>
      <c r="S31" s="774">
        <f t="shared" si="12"/>
        <v>100</v>
      </c>
      <c r="T31" s="773" t="s">
        <v>17</v>
      </c>
      <c r="U31" s="774">
        <f t="shared" si="13"/>
        <v>100</v>
      </c>
      <c r="V31" s="773" t="s">
        <v>17</v>
      </c>
      <c r="W31" s="774">
        <f t="shared" si="14"/>
        <v>100</v>
      </c>
      <c r="X31" s="1815"/>
      <c r="Y31" s="3215"/>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13"/>
      <c r="Q32" s="1812">
        <f t="shared" si="11"/>
        <v>111</v>
      </c>
      <c r="R32" s="773" t="s">
        <v>17</v>
      </c>
      <c r="S32" s="774">
        <f t="shared" si="12"/>
        <v>100</v>
      </c>
      <c r="T32" s="773" t="s">
        <v>17</v>
      </c>
      <c r="U32" s="774">
        <f t="shared" si="13"/>
        <v>100</v>
      </c>
      <c r="V32" s="773" t="s">
        <v>17</v>
      </c>
      <c r="W32" s="774">
        <f t="shared" si="14"/>
        <v>100</v>
      </c>
      <c r="X32" s="1815"/>
      <c r="Y32" s="3215"/>
      <c r="Z32" s="1816">
        <f t="shared" si="15"/>
        <v>111</v>
      </c>
      <c r="AA32" s="1813">
        <f t="shared" si="3"/>
        <v>1</v>
      </c>
      <c r="AB32" s="1813">
        <f t="shared" si="4"/>
        <v>1</v>
      </c>
      <c r="AC32" s="2671">
        <f t="shared" si="5"/>
        <v>1</v>
      </c>
    </row>
    <row r="33" spans="1:29" ht="15">
      <c r="A33" s="440" t="s">
        <v>2544</v>
      </c>
      <c r="B33" s="71" t="s">
        <v>2674</v>
      </c>
      <c r="C33" s="2676" t="s">
        <v>3302</v>
      </c>
      <c r="D33" s="467">
        <v>100</v>
      </c>
      <c r="E33" s="2676" t="s">
        <v>3302</v>
      </c>
      <c r="F33" s="461">
        <f>SUMIF(101:101,E33,102:102)-SUMIF(101:101,C33,102:102)+100</f>
        <v>100</v>
      </c>
      <c r="G33" s="2676" t="s">
        <v>3302</v>
      </c>
      <c r="H33" s="435">
        <f>SUMIF(101:101,G33,102:102)-SUMIF(101:101,C33,102:102)+100</f>
        <v>100</v>
      </c>
      <c r="I33" s="2676" t="s">
        <v>3304</v>
      </c>
      <c r="J33" s="467">
        <f>SUMIF(101:101,I33,102:102)-SUMIF(101:101,C33,102:102)+100</f>
        <v>98</v>
      </c>
      <c r="K33" s="612">
        <v>2</v>
      </c>
      <c r="L33" s="1141"/>
      <c r="M33" s="1132"/>
      <c r="N33" s="1132"/>
      <c r="O33" s="1132"/>
      <c r="P33" s="3216" t="s">
        <v>2546</v>
      </c>
      <c r="Q33" s="1812" t="str">
        <f t="shared" si="11"/>
        <v>建筑类型</v>
      </c>
      <c r="R33" s="773" t="s">
        <v>17</v>
      </c>
      <c r="S33" s="774">
        <f t="shared" si="12"/>
        <v>100</v>
      </c>
      <c r="T33" s="773" t="s">
        <v>17</v>
      </c>
      <c r="U33" s="774">
        <f t="shared" si="13"/>
        <v>100</v>
      </c>
      <c r="V33" s="773" t="s">
        <v>17</v>
      </c>
      <c r="W33" s="774">
        <f t="shared" si="14"/>
        <v>98</v>
      </c>
      <c r="X33" s="1815"/>
      <c r="Y33" s="3219" t="s">
        <v>2546</v>
      </c>
      <c r="Z33" s="1816" t="str">
        <f t="shared" si="15"/>
        <v>建筑类型</v>
      </c>
      <c r="AA33" s="1813">
        <f t="shared" si="3"/>
        <v>1</v>
      </c>
      <c r="AB33" s="1813">
        <f t="shared" si="4"/>
        <v>1</v>
      </c>
      <c r="AC33" s="2671">
        <f t="shared" si="5"/>
        <v>1.0204081632653061</v>
      </c>
    </row>
    <row r="34" spans="1:29" s="471" customFormat="1" ht="15">
      <c r="A34" s="468"/>
      <c r="B34" s="422" t="s">
        <v>2547</v>
      </c>
      <c r="C34" s="469">
        <f>'数据-汇总表'!F19</f>
        <v>2282.61</v>
      </c>
      <c r="D34" s="136">
        <v>100</v>
      </c>
      <c r="E34" s="430">
        <v>30</v>
      </c>
      <c r="F34" s="425">
        <f>LOOKUP(E34,104:104,105:105)-LOOKUP(C34,104:104,105:105)+100</f>
        <v>103</v>
      </c>
      <c r="G34" s="429">
        <v>2362.0500000000002</v>
      </c>
      <c r="H34" s="136">
        <f>LOOKUP(G34,104:104,105:105)-LOOKUP(C34,104:104,105:105)+100</f>
        <v>100</v>
      </c>
      <c r="I34" s="429">
        <v>1448.33</v>
      </c>
      <c r="J34" s="136">
        <f>LOOKUP(I34,104:104,105:105)-LOOKUP(C34,104:104,105:105)+100</f>
        <v>100</v>
      </c>
      <c r="K34" s="613"/>
      <c r="L34" s="1139"/>
      <c r="M34" s="1142"/>
      <c r="N34" s="1142"/>
      <c r="O34" s="1142"/>
      <c r="P34" s="3217"/>
      <c r="Q34" s="775" t="str">
        <f t="shared" si="11"/>
        <v>项目建筑规模</v>
      </c>
      <c r="R34" s="776" t="s">
        <v>17</v>
      </c>
      <c r="S34" s="777">
        <f t="shared" si="12"/>
        <v>103</v>
      </c>
      <c r="T34" s="776" t="s">
        <v>17</v>
      </c>
      <c r="U34" s="777">
        <f t="shared" si="13"/>
        <v>100</v>
      </c>
      <c r="V34" s="776" t="s">
        <v>17</v>
      </c>
      <c r="W34" s="777">
        <f t="shared" si="14"/>
        <v>100</v>
      </c>
      <c r="X34" s="778"/>
      <c r="Y34" s="3219"/>
      <c r="Z34" s="779" t="str">
        <f t="shared" si="15"/>
        <v>项目建筑规模</v>
      </c>
      <c r="AA34" s="1813">
        <f t="shared" si="3"/>
        <v>0.970873786407767</v>
      </c>
      <c r="AB34" s="1813">
        <f t="shared" si="4"/>
        <v>1</v>
      </c>
      <c r="AC34" s="2671">
        <f t="shared" si="5"/>
        <v>1</v>
      </c>
    </row>
    <row r="35" spans="1:29" ht="15">
      <c r="A35" s="472"/>
      <c r="B35" s="422" t="s">
        <v>2548</v>
      </c>
      <c r="C35" s="460" t="s">
        <v>3306</v>
      </c>
      <c r="D35" s="435">
        <v>100</v>
      </c>
      <c r="E35" s="460" t="s">
        <v>3117</v>
      </c>
      <c r="F35" s="461">
        <f>SUMIF(106:106,E35,107:107)-SUMIF(106:106,C35,107:107)+100</f>
        <v>102</v>
      </c>
      <c r="G35" s="460" t="s">
        <v>3117</v>
      </c>
      <c r="H35" s="435">
        <f>SUMIF(106:106,G35,107:107)-SUMIF(106:106,C35,107:107)+100</f>
        <v>102</v>
      </c>
      <c r="I35" s="460" t="s">
        <v>3117</v>
      </c>
      <c r="J35" s="435">
        <f>SUMIF(106:106,I35,107:107)-SUMIF(106:106,C35,107:107)+100</f>
        <v>102</v>
      </c>
      <c r="K35" s="612">
        <v>2</v>
      </c>
      <c r="L35" s="1141"/>
      <c r="M35" s="1132"/>
      <c r="N35" s="1132"/>
      <c r="O35" s="1132"/>
      <c r="P35" s="3217"/>
      <c r="Q35" s="1812" t="str">
        <f t="shared" si="11"/>
        <v>建筑结构</v>
      </c>
      <c r="R35" s="773" t="s">
        <v>17</v>
      </c>
      <c r="S35" s="774">
        <f t="shared" si="12"/>
        <v>102</v>
      </c>
      <c r="T35" s="773" t="s">
        <v>17</v>
      </c>
      <c r="U35" s="774">
        <f t="shared" si="13"/>
        <v>102</v>
      </c>
      <c r="V35" s="773" t="s">
        <v>17</v>
      </c>
      <c r="W35" s="774">
        <f t="shared" si="14"/>
        <v>102</v>
      </c>
      <c r="X35" s="1815"/>
      <c r="Y35" s="3219"/>
      <c r="Z35" s="1816" t="str">
        <f t="shared" si="15"/>
        <v>建筑结构</v>
      </c>
      <c r="AA35" s="1813">
        <f t="shared" si="3"/>
        <v>0.98039215686274506</v>
      </c>
      <c r="AB35" s="1813">
        <f t="shared" si="4"/>
        <v>0.98039215686274506</v>
      </c>
      <c r="AC35" s="2671">
        <f t="shared" si="5"/>
        <v>0.98039215686274506</v>
      </c>
    </row>
    <row r="36" spans="1:29" ht="15">
      <c r="A36" s="472"/>
      <c r="B36" s="422" t="s">
        <v>2642</v>
      </c>
      <c r="C36" s="460" t="s">
        <v>3308</v>
      </c>
      <c r="D36" s="435">
        <v>100</v>
      </c>
      <c r="E36" s="460" t="s">
        <v>3154</v>
      </c>
      <c r="F36" s="461">
        <f>SUMIF(108:108,E36,109:109)-SUMIF(108:108,C36,109:109)+100</f>
        <v>98</v>
      </c>
      <c r="G36" s="460" t="s">
        <v>3154</v>
      </c>
      <c r="H36" s="435">
        <f>SUMIF(108:108,G36,109:109)-SUMIF(108:108,C36,109:109)+100</f>
        <v>98</v>
      </c>
      <c r="I36" s="460" t="s">
        <v>3308</v>
      </c>
      <c r="J36" s="435">
        <f>SUMIF(108:108,I36,109:109)-SUMIF(108:108,C36,109:109)+100</f>
        <v>100</v>
      </c>
      <c r="K36" s="612">
        <v>2</v>
      </c>
      <c r="L36" s="1141"/>
      <c r="M36" s="1132"/>
      <c r="N36" s="1132"/>
      <c r="O36" s="1132"/>
      <c r="P36" s="3217"/>
      <c r="Q36" s="1812" t="str">
        <f t="shared" si="11"/>
        <v>公共部分装修</v>
      </c>
      <c r="R36" s="773" t="s">
        <v>17</v>
      </c>
      <c r="S36" s="774">
        <f t="shared" si="12"/>
        <v>98</v>
      </c>
      <c r="T36" s="773" t="s">
        <v>17</v>
      </c>
      <c r="U36" s="774">
        <f t="shared" si="13"/>
        <v>98</v>
      </c>
      <c r="V36" s="773" t="s">
        <v>17</v>
      </c>
      <c r="W36" s="774">
        <f t="shared" si="14"/>
        <v>100</v>
      </c>
      <c r="X36" s="1815"/>
      <c r="Y36" s="3219"/>
      <c r="Z36" s="1816" t="str">
        <f t="shared" si="15"/>
        <v>公共部分装修</v>
      </c>
      <c r="AA36" s="1813">
        <f t="shared" si="3"/>
        <v>1.0204081632653061</v>
      </c>
      <c r="AB36" s="1813">
        <f t="shared" si="4"/>
        <v>1.0204081632653061</v>
      </c>
      <c r="AC36" s="2671">
        <f t="shared" si="5"/>
        <v>1</v>
      </c>
    </row>
    <row r="37" spans="1:29" ht="15">
      <c r="A37" s="472"/>
      <c r="B37" s="422" t="s">
        <v>2643</v>
      </c>
      <c r="C37" s="474">
        <f>'数据-取费表'!N6</f>
        <v>0.9</v>
      </c>
      <c r="D37" s="435">
        <v>100</v>
      </c>
      <c r="E37" s="474">
        <v>1</v>
      </c>
      <c r="F37" s="461">
        <f>LOOKUP(E37,111:111,112:112)-LOOKUP(C37,111:111,112:112)+100</f>
        <v>100</v>
      </c>
      <c r="G37" s="474">
        <v>1</v>
      </c>
      <c r="H37" s="461">
        <f>LOOKUP(G37,111:111,112:112)-LOOKUP(C37,111:111,112:112)+100</f>
        <v>100</v>
      </c>
      <c r="I37" s="474">
        <v>0.8</v>
      </c>
      <c r="J37" s="435">
        <f>LOOKUP(I37,111:111,112:112)-LOOKUP(C37,111:111,112:112)+100</f>
        <v>99</v>
      </c>
      <c r="K37" s="612">
        <v>1</v>
      </c>
      <c r="L37" s="1141"/>
      <c r="M37" s="1132"/>
      <c r="N37" s="1132"/>
      <c r="O37" s="1132"/>
      <c r="P37" s="3217"/>
      <c r="Q37" s="1812" t="str">
        <f t="shared" si="11"/>
        <v>成新度</v>
      </c>
      <c r="R37" s="773" t="s">
        <v>17</v>
      </c>
      <c r="S37" s="774">
        <f t="shared" si="12"/>
        <v>100</v>
      </c>
      <c r="T37" s="773" t="s">
        <v>17</v>
      </c>
      <c r="U37" s="774">
        <f t="shared" si="13"/>
        <v>100</v>
      </c>
      <c r="V37" s="773" t="s">
        <v>17</v>
      </c>
      <c r="W37" s="774">
        <f t="shared" si="14"/>
        <v>99</v>
      </c>
      <c r="X37" s="1815"/>
      <c r="Y37" s="3219"/>
      <c r="Z37" s="1816" t="str">
        <f t="shared" si="15"/>
        <v>成新度</v>
      </c>
      <c r="AA37" s="1813">
        <f t="shared" si="3"/>
        <v>1</v>
      </c>
      <c r="AB37" s="1813">
        <f t="shared" si="4"/>
        <v>1</v>
      </c>
      <c r="AC37" s="2671">
        <f t="shared" si="5"/>
        <v>1.0101010101010102</v>
      </c>
    </row>
    <row r="38" spans="1:29" s="117" customFormat="1" ht="15" hidden="1">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17"/>
      <c r="Q38" s="1797" t="str">
        <f t="shared" si="11"/>
        <v>写字楼等级</v>
      </c>
      <c r="R38" s="769" t="s">
        <v>17</v>
      </c>
      <c r="S38" s="770">
        <f t="shared" si="12"/>
        <v>100</v>
      </c>
      <c r="T38" s="769" t="s">
        <v>17</v>
      </c>
      <c r="U38" s="770">
        <f t="shared" si="13"/>
        <v>100</v>
      </c>
      <c r="V38" s="769" t="s">
        <v>17</v>
      </c>
      <c r="W38" s="770">
        <f t="shared" si="14"/>
        <v>100</v>
      </c>
      <c r="X38" s="771"/>
      <c r="Y38" s="3219"/>
      <c r="Z38" s="55" t="str">
        <f t="shared" si="15"/>
        <v>写字楼等级</v>
      </c>
      <c r="AA38" s="772">
        <f t="shared" si="3"/>
        <v>1</v>
      </c>
      <c r="AB38" s="772">
        <f t="shared" si="4"/>
        <v>1</v>
      </c>
      <c r="AC38" s="2668">
        <f t="shared" si="5"/>
        <v>1</v>
      </c>
    </row>
    <row r="39" spans="1:29" ht="15">
      <c r="A39" s="472"/>
      <c r="B39" s="422" t="s">
        <v>2676</v>
      </c>
      <c r="C39" s="460" t="s">
        <v>3310</v>
      </c>
      <c r="D39" s="435">
        <v>100</v>
      </c>
      <c r="E39" s="460" t="s">
        <v>3162</v>
      </c>
      <c r="F39" s="461">
        <f>SUMIF(115:115,E39,116:116)-SUMIF(115:115,C39,116:116)+100</f>
        <v>102</v>
      </c>
      <c r="G39" s="460" t="s">
        <v>3162</v>
      </c>
      <c r="H39" s="435">
        <f>SUMIF(115:115,G39,116:116)-SUMIF(115:115,C39,116:116)+100</f>
        <v>102</v>
      </c>
      <c r="I39" s="460" t="s">
        <v>3310</v>
      </c>
      <c r="J39" s="435">
        <f>SUMIF(115:115,I39,116:116)-SUMIF(115:115,C39,116:116)+100</f>
        <v>100</v>
      </c>
      <c r="K39" s="612">
        <v>2</v>
      </c>
      <c r="L39" s="1141"/>
      <c r="M39" s="1132"/>
      <c r="N39" s="1132"/>
      <c r="O39" s="1132"/>
      <c r="P39" s="3217" t="s">
        <v>2546</v>
      </c>
      <c r="Q39" s="1812" t="str">
        <f t="shared" si="11"/>
        <v>物业管理</v>
      </c>
      <c r="R39" s="773" t="s">
        <v>17</v>
      </c>
      <c r="S39" s="774">
        <f t="shared" si="12"/>
        <v>102</v>
      </c>
      <c r="T39" s="773" t="s">
        <v>17</v>
      </c>
      <c r="U39" s="774">
        <f t="shared" si="13"/>
        <v>102</v>
      </c>
      <c r="V39" s="773" t="s">
        <v>17</v>
      </c>
      <c r="W39" s="774">
        <f t="shared" si="14"/>
        <v>100</v>
      </c>
      <c r="X39" s="1815"/>
      <c r="Y39" s="3219" t="s">
        <v>2546</v>
      </c>
      <c r="Z39" s="1816" t="str">
        <f t="shared" si="15"/>
        <v>物业管理</v>
      </c>
      <c r="AA39" s="1813">
        <f t="shared" si="3"/>
        <v>0.98039215686274506</v>
      </c>
      <c r="AB39" s="1813">
        <f t="shared" si="4"/>
        <v>0.98039215686274506</v>
      </c>
      <c r="AC39" s="2671">
        <f t="shared" si="5"/>
        <v>1</v>
      </c>
    </row>
    <row r="40" spans="1:29" ht="15">
      <c r="A40" s="472"/>
      <c r="B40" s="422" t="s">
        <v>2644</v>
      </c>
      <c r="C40" s="460" t="s">
        <v>3167</v>
      </c>
      <c r="D40" s="435">
        <v>100</v>
      </c>
      <c r="E40" s="460" t="s">
        <v>3167</v>
      </c>
      <c r="F40" s="461">
        <f>SUMIF(117:117,E40,118:118)-SUMIF(117:117,C40,118:118)+100</f>
        <v>100</v>
      </c>
      <c r="G40" s="460" t="s">
        <v>3167</v>
      </c>
      <c r="H40" s="435">
        <f>SUMIF(117:117,G40,118:118)-SUMIF(117:117,C40,118:118)+100</f>
        <v>100</v>
      </c>
      <c r="I40" s="460" t="s">
        <v>3167</v>
      </c>
      <c r="J40" s="435">
        <f>SUMIF(117:117,I40,118:118)-SUMIF(117:117,C40,118:118)+100</f>
        <v>100</v>
      </c>
      <c r="K40" s="612">
        <v>1</v>
      </c>
      <c r="L40" s="1141"/>
      <c r="M40" s="1132"/>
      <c r="N40" s="1132"/>
      <c r="O40" s="1132"/>
      <c r="P40" s="3217"/>
      <c r="Q40" s="1812" t="str">
        <f t="shared" si="11"/>
        <v>市政基础设施</v>
      </c>
      <c r="R40" s="773" t="s">
        <v>17</v>
      </c>
      <c r="S40" s="774">
        <f t="shared" si="12"/>
        <v>100</v>
      </c>
      <c r="T40" s="773" t="s">
        <v>17</v>
      </c>
      <c r="U40" s="774">
        <f t="shared" si="13"/>
        <v>100</v>
      </c>
      <c r="V40" s="773" t="s">
        <v>17</v>
      </c>
      <c r="W40" s="774">
        <f t="shared" si="14"/>
        <v>100</v>
      </c>
      <c r="X40" s="1815"/>
      <c r="Y40" s="3219"/>
      <c r="Z40" s="1816" t="str">
        <f t="shared" si="15"/>
        <v>市政基础设施</v>
      </c>
      <c r="AA40" s="1813">
        <f t="shared" si="3"/>
        <v>1</v>
      </c>
      <c r="AB40" s="1813">
        <f t="shared" si="4"/>
        <v>1</v>
      </c>
      <c r="AC40" s="2671">
        <f t="shared" si="5"/>
        <v>1</v>
      </c>
    </row>
    <row r="41" spans="1:29" ht="15">
      <c r="A41" s="472"/>
      <c r="B41" s="422" t="s">
        <v>2646</v>
      </c>
      <c r="C41" s="616" t="s">
        <v>3172</v>
      </c>
      <c r="D41" s="435">
        <v>100</v>
      </c>
      <c r="E41" s="616" t="s">
        <v>3172</v>
      </c>
      <c r="F41" s="461">
        <f>SUMIF(119:119,E41,120:120)-SUMIF(119:119,C41,120:120)+100</f>
        <v>100</v>
      </c>
      <c r="G41" s="616" t="s">
        <v>3307</v>
      </c>
      <c r="H41" s="435">
        <f>SUMIF(119:119,G41,120:120)-SUMIF(119:119,C41,120:120)+100</f>
        <v>102</v>
      </c>
      <c r="I41" s="616" t="s">
        <v>3172</v>
      </c>
      <c r="J41" s="435">
        <f>SUMIF(119:119,I41,120:120)-SUMIF(119:119,C41,120:120)+100</f>
        <v>100</v>
      </c>
      <c r="K41" s="612">
        <v>2</v>
      </c>
      <c r="L41" s="1141"/>
      <c r="M41" s="1132"/>
      <c r="N41" s="1132"/>
      <c r="O41" s="1132"/>
      <c r="P41" s="3217"/>
      <c r="Q41" s="1812" t="str">
        <f t="shared" si="11"/>
        <v>层高</v>
      </c>
      <c r="R41" s="773" t="s">
        <v>17</v>
      </c>
      <c r="S41" s="774">
        <f t="shared" si="12"/>
        <v>100</v>
      </c>
      <c r="T41" s="773" t="s">
        <v>17</v>
      </c>
      <c r="U41" s="774">
        <f t="shared" si="13"/>
        <v>102</v>
      </c>
      <c r="V41" s="773" t="s">
        <v>17</v>
      </c>
      <c r="W41" s="774">
        <f t="shared" si="14"/>
        <v>100</v>
      </c>
      <c r="X41" s="1815"/>
      <c r="Y41" s="3219"/>
      <c r="Z41" s="1816" t="str">
        <f t="shared" si="15"/>
        <v>层高</v>
      </c>
      <c r="AA41" s="1813">
        <f t="shared" si="3"/>
        <v>1</v>
      </c>
      <c r="AB41" s="1813">
        <f t="shared" si="4"/>
        <v>0.98039215686274506</v>
      </c>
      <c r="AC41" s="2671">
        <f t="shared" si="5"/>
        <v>1</v>
      </c>
    </row>
    <row r="42" spans="1:29" s="471" customFormat="1" ht="15" hidden="1">
      <c r="A42" s="468"/>
      <c r="B42" s="1814"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7"/>
      <c r="Q42" s="775" t="str">
        <f t="shared" si="11"/>
        <v>单套建筑面积</v>
      </c>
      <c r="R42" s="776" t="s">
        <v>17</v>
      </c>
      <c r="S42" s="777">
        <f t="shared" si="12"/>
        <v>100</v>
      </c>
      <c r="T42" s="776" t="s">
        <v>17</v>
      </c>
      <c r="U42" s="777">
        <f t="shared" si="13"/>
        <v>100</v>
      </c>
      <c r="V42" s="776" t="s">
        <v>17</v>
      </c>
      <c r="W42" s="777">
        <f t="shared" si="14"/>
        <v>100</v>
      </c>
      <c r="X42" s="778"/>
      <c r="Y42" s="3219"/>
      <c r="Z42" s="779" t="str">
        <f t="shared" si="15"/>
        <v>单套建筑面积</v>
      </c>
      <c r="AA42" s="1813">
        <f t="shared" si="3"/>
        <v>1</v>
      </c>
      <c r="AB42" s="1813">
        <f t="shared" si="4"/>
        <v>1</v>
      </c>
      <c r="AC42" s="2671">
        <f t="shared" si="5"/>
        <v>1</v>
      </c>
    </row>
    <row r="43" spans="1:29" ht="15">
      <c r="A43" s="472"/>
      <c r="B43" s="422" t="s">
        <v>2649</v>
      </c>
      <c r="C43" s="460" t="s">
        <v>3308</v>
      </c>
      <c r="D43" s="435">
        <v>100</v>
      </c>
      <c r="E43" s="460" t="s">
        <v>3154</v>
      </c>
      <c r="F43" s="461">
        <f>SUMIF(123:123,E43,124:124)-SUMIF(123:123,C43,124:124)+100</f>
        <v>98</v>
      </c>
      <c r="G43" s="460" t="s">
        <v>3154</v>
      </c>
      <c r="H43" s="435">
        <f>SUMIF(123:123,G43,124:124)-SUMIF(123:123,C43,124:124)+100</f>
        <v>98</v>
      </c>
      <c r="I43" s="460" t="s">
        <v>3308</v>
      </c>
      <c r="J43" s="435">
        <f>SUMIF(123:123,I43,124:124)-SUMIF(123:123,C43,124:124)+100</f>
        <v>100</v>
      </c>
      <c r="K43" s="612">
        <v>2</v>
      </c>
      <c r="L43" s="1141"/>
      <c r="M43" s="1132"/>
      <c r="N43" s="1132"/>
      <c r="O43" s="1132"/>
      <c r="P43" s="3217"/>
      <c r="Q43" s="1812" t="str">
        <f t="shared" si="11"/>
        <v>内部装修</v>
      </c>
      <c r="R43" s="773" t="s">
        <v>17</v>
      </c>
      <c r="S43" s="774">
        <f t="shared" si="12"/>
        <v>98</v>
      </c>
      <c r="T43" s="773" t="s">
        <v>17</v>
      </c>
      <c r="U43" s="774">
        <f t="shared" si="13"/>
        <v>98</v>
      </c>
      <c r="V43" s="773" t="s">
        <v>17</v>
      </c>
      <c r="W43" s="774">
        <f t="shared" si="14"/>
        <v>100</v>
      </c>
      <c r="X43" s="1815"/>
      <c r="Y43" s="3219"/>
      <c r="Z43" s="1816" t="str">
        <f t="shared" si="15"/>
        <v>内部装修</v>
      </c>
      <c r="AA43" s="1813">
        <f t="shared" si="3"/>
        <v>1.0204081632653061</v>
      </c>
      <c r="AB43" s="1813">
        <f t="shared" si="4"/>
        <v>1.0204081632653061</v>
      </c>
      <c r="AC43" s="2671">
        <f t="shared" si="5"/>
        <v>1</v>
      </c>
    </row>
    <row r="44" spans="1:29" ht="15">
      <c r="A44" s="472"/>
      <c r="B44" s="422" t="s">
        <v>2557</v>
      </c>
      <c r="C44" s="460" t="s">
        <v>3133</v>
      </c>
      <c r="D44" s="435">
        <v>100</v>
      </c>
      <c r="E44" s="2610" t="s">
        <v>3133</v>
      </c>
      <c r="F44" s="461">
        <f>SUMIF(125:125,E44,126:126)-SUMIF(125:125,C44,126:126)+100</f>
        <v>100</v>
      </c>
      <c r="G44" s="2610" t="s">
        <v>3133</v>
      </c>
      <c r="H44" s="435">
        <f>SUMIF(125:125,G44,126:126)-SUMIF(125:125,C44,126:126)+100</f>
        <v>100</v>
      </c>
      <c r="I44" s="2610" t="s">
        <v>3133</v>
      </c>
      <c r="J44" s="435">
        <f>SUMIF(125:125,I44,126:126)-SUMIF(125:125,C44,126:126)+100</f>
        <v>100</v>
      </c>
      <c r="K44" s="612">
        <v>2</v>
      </c>
      <c r="L44" s="1141"/>
      <c r="M44" s="1132"/>
      <c r="N44" s="1132"/>
      <c r="O44" s="1132"/>
      <c r="P44" s="3217"/>
      <c r="Q44" s="1812" t="str">
        <f t="shared" si="11"/>
        <v>内部装修维护情况</v>
      </c>
      <c r="R44" s="773" t="s">
        <v>17</v>
      </c>
      <c r="S44" s="774">
        <f t="shared" si="12"/>
        <v>100</v>
      </c>
      <c r="T44" s="773" t="s">
        <v>17</v>
      </c>
      <c r="U44" s="774">
        <f t="shared" si="13"/>
        <v>100</v>
      </c>
      <c r="V44" s="773" t="s">
        <v>17</v>
      </c>
      <c r="W44" s="774">
        <f t="shared" si="14"/>
        <v>100</v>
      </c>
      <c r="X44" s="1815"/>
      <c r="Y44" s="3219"/>
      <c r="Z44" s="1816" t="str">
        <f t="shared" si="15"/>
        <v>内部装修维护情况</v>
      </c>
      <c r="AA44" s="1813">
        <f t="shared" si="3"/>
        <v>1</v>
      </c>
      <c r="AB44" s="1813">
        <f t="shared" si="4"/>
        <v>1</v>
      </c>
      <c r="AC44" s="2671">
        <f t="shared" si="5"/>
        <v>1</v>
      </c>
    </row>
    <row r="45" spans="1:29" s="117" customFormat="1" ht="15">
      <c r="A45" s="473"/>
      <c r="B45" s="2996" t="s">
        <v>3176</v>
      </c>
      <c r="C45" s="2997" t="s">
        <v>3323</v>
      </c>
      <c r="D45" s="136">
        <v>100</v>
      </c>
      <c r="E45" s="2998" t="s">
        <v>3177</v>
      </c>
      <c r="F45" s="425">
        <f>SUMIF(127:127,E45,128:128)-SUMIF(127:127,C45,128:128)+100</f>
        <v>102</v>
      </c>
      <c r="G45" s="2998" t="s">
        <v>3177</v>
      </c>
      <c r="H45" s="136">
        <f>SUMIF(127:127,G45,128:128)-SUMIF(127:127,C45,128:128)+100</f>
        <v>102</v>
      </c>
      <c r="I45" s="2998" t="s">
        <v>3301</v>
      </c>
      <c r="J45" s="136">
        <f>SUMIF(127:127,I45,128:128)-SUMIF(127:127,C45,128:128)+100</f>
        <v>104</v>
      </c>
      <c r="K45" s="613"/>
      <c r="L45" s="1133"/>
      <c r="M45" s="1134"/>
      <c r="N45" s="1134"/>
      <c r="O45" s="1134"/>
      <c r="P45" s="3217"/>
      <c r="Q45" s="1797" t="str">
        <f t="shared" si="11"/>
        <v>房屋状态</v>
      </c>
      <c r="R45" s="769" t="s">
        <v>17</v>
      </c>
      <c r="S45" s="770">
        <f t="shared" si="12"/>
        <v>102</v>
      </c>
      <c r="T45" s="769" t="s">
        <v>17</v>
      </c>
      <c r="U45" s="770">
        <f t="shared" si="13"/>
        <v>102</v>
      </c>
      <c r="V45" s="769" t="s">
        <v>17</v>
      </c>
      <c r="W45" s="770">
        <f t="shared" si="14"/>
        <v>104</v>
      </c>
      <c r="X45" s="771"/>
      <c r="Y45" s="3219"/>
      <c r="Z45" s="55" t="str">
        <f t="shared" si="15"/>
        <v>房屋状态</v>
      </c>
      <c r="AA45" s="772">
        <f t="shared" si="3"/>
        <v>0.98039215686274506</v>
      </c>
      <c r="AB45" s="772">
        <f t="shared" si="4"/>
        <v>0.98039215686274506</v>
      </c>
      <c r="AC45" s="2668">
        <f t="shared" si="5"/>
        <v>0.96153846153846156</v>
      </c>
    </row>
    <row r="46" spans="1:29" ht="15">
      <c r="A46" s="472"/>
      <c r="B46" s="2996" t="s">
        <v>3312</v>
      </c>
      <c r="C46" s="3008" t="s">
        <v>3313</v>
      </c>
      <c r="D46" s="435">
        <v>100</v>
      </c>
      <c r="E46" s="2998" t="s">
        <v>3314</v>
      </c>
      <c r="F46" s="461">
        <f>SUMIF(129:129,E46,130:130)-SUMIF(129:129,C46,130:130)+100</f>
        <v>103</v>
      </c>
      <c r="G46" s="2998" t="s">
        <v>3315</v>
      </c>
      <c r="H46" s="435">
        <f>SUMIF(129:129,G46,130:130)-SUMIF(129:129,C46,130:130)+100</f>
        <v>103</v>
      </c>
      <c r="I46" s="2998" t="s">
        <v>3314</v>
      </c>
      <c r="J46" s="435">
        <f>SUMIF(129:129,I46,130:130)-SUMIF(129:129,C46,130:130)+100</f>
        <v>103</v>
      </c>
      <c r="K46" s="613"/>
      <c r="L46" s="1141"/>
      <c r="M46" s="1132"/>
      <c r="N46" s="1132"/>
      <c r="O46" s="1132"/>
      <c r="P46" s="3217"/>
      <c r="Q46" s="1812" t="str">
        <f t="shared" si="11"/>
        <v>是否带电梯</v>
      </c>
      <c r="R46" s="773" t="s">
        <v>17</v>
      </c>
      <c r="S46" s="774">
        <f t="shared" si="12"/>
        <v>103</v>
      </c>
      <c r="T46" s="773" t="s">
        <v>17</v>
      </c>
      <c r="U46" s="774">
        <f t="shared" si="13"/>
        <v>103</v>
      </c>
      <c r="V46" s="773" t="s">
        <v>17</v>
      </c>
      <c r="W46" s="774">
        <f t="shared" si="14"/>
        <v>103</v>
      </c>
      <c r="X46" s="1815"/>
      <c r="Y46" s="3219"/>
      <c r="Z46" s="1816" t="str">
        <f t="shared" si="15"/>
        <v>是否带电梯</v>
      </c>
      <c r="AA46" s="1813">
        <f t="shared" si="3"/>
        <v>0.970873786407767</v>
      </c>
      <c r="AB46" s="1813">
        <f t="shared" si="4"/>
        <v>0.970873786407767</v>
      </c>
      <c r="AC46" s="2671">
        <f t="shared" si="5"/>
        <v>0.970873786407767</v>
      </c>
    </row>
    <row r="47" spans="1:29" ht="15.75" thickBot="1">
      <c r="A47" s="478"/>
      <c r="B47" s="3011" t="s">
        <v>3316</v>
      </c>
      <c r="C47" s="3012" t="s">
        <v>3317</v>
      </c>
      <c r="D47" s="438">
        <v>100</v>
      </c>
      <c r="E47" s="2998" t="s">
        <v>3314</v>
      </c>
      <c r="F47" s="439">
        <f>SUMIF(131:131,E47,132:132)-SUMIF(131:131,C47,132:132)+100</f>
        <v>100</v>
      </c>
      <c r="G47" s="2998" t="s">
        <v>3314</v>
      </c>
      <c r="H47" s="438">
        <f>SUMIF(131:131,G47,132:132)-SUMIF(131:131,C47,132:132)+100</f>
        <v>100</v>
      </c>
      <c r="I47" s="2998" t="s">
        <v>3313</v>
      </c>
      <c r="J47" s="438">
        <f>SUMIF(131:131,I47,132:132)-SUMIF(131:131,C47,132:132)+100</f>
        <v>97</v>
      </c>
      <c r="K47" s="613"/>
      <c r="L47" s="1141"/>
      <c r="M47" s="1132"/>
      <c r="N47" s="1132"/>
      <c r="O47" s="1132"/>
      <c r="P47" s="3218"/>
      <c r="Q47" s="1812" t="str">
        <f t="shared" si="11"/>
        <v>是否有车位</v>
      </c>
      <c r="R47" s="773" t="s">
        <v>17</v>
      </c>
      <c r="S47" s="774">
        <f t="shared" si="12"/>
        <v>100</v>
      </c>
      <c r="T47" s="773" t="s">
        <v>17</v>
      </c>
      <c r="U47" s="774">
        <f t="shared" si="13"/>
        <v>100</v>
      </c>
      <c r="V47" s="773" t="s">
        <v>17</v>
      </c>
      <c r="W47" s="774">
        <f t="shared" si="14"/>
        <v>97</v>
      </c>
      <c r="X47" s="1815"/>
      <c r="Y47" s="3220"/>
      <c r="Z47" s="1816" t="str">
        <f t="shared" si="15"/>
        <v>是否有车位</v>
      </c>
      <c r="AA47" s="1813">
        <f t="shared" si="3"/>
        <v>1</v>
      </c>
      <c r="AB47" s="1813">
        <f t="shared" si="4"/>
        <v>1</v>
      </c>
      <c r="AC47" s="2671">
        <f t="shared" si="5"/>
        <v>1.0309278350515463</v>
      </c>
    </row>
    <row r="48" spans="1:29" ht="15">
      <c r="A48" s="479" t="s">
        <v>2558</v>
      </c>
      <c r="B48" s="480"/>
      <c r="C48" s="1408" t="s">
        <v>1</v>
      </c>
      <c r="D48" s="1409"/>
      <c r="E48" s="1410">
        <v>6800</v>
      </c>
      <c r="F48" s="1411"/>
      <c r="G48" s="1412">
        <f>9800*0.8</f>
        <v>7840</v>
      </c>
      <c r="H48" s="1413"/>
      <c r="I48" s="1410">
        <v>8000</v>
      </c>
      <c r="J48" s="485"/>
      <c r="K48" s="782"/>
      <c r="L48" s="1144"/>
      <c r="M48" s="1132"/>
      <c r="N48" s="1132"/>
      <c r="O48" s="1132"/>
      <c r="P48" s="3206" t="str">
        <f>A48</f>
        <v>成交单价（元/平方米）</v>
      </c>
      <c r="Q48" s="3207"/>
      <c r="R48" s="3208">
        <f>E48</f>
        <v>6800</v>
      </c>
      <c r="S48" s="3208"/>
      <c r="T48" s="3208">
        <f>G48</f>
        <v>7840</v>
      </c>
      <c r="U48" s="3208"/>
      <c r="V48" s="3208">
        <f>I48</f>
        <v>8000</v>
      </c>
      <c r="W48" s="3208"/>
      <c r="X48" s="446"/>
      <c r="Y48" s="780"/>
      <c r="Z48" s="446"/>
      <c r="AA48" s="446"/>
      <c r="AB48" s="446"/>
      <c r="AC48" s="630"/>
    </row>
    <row r="49" spans="1:29" ht="15.75" thickBot="1">
      <c r="A49" s="486" t="s">
        <v>2650</v>
      </c>
      <c r="B49" s="487"/>
      <c r="C49" s="1414">
        <f>R50</f>
        <v>7221</v>
      </c>
      <c r="D49" s="1415"/>
      <c r="E49" s="1416">
        <f>R49</f>
        <v>6483</v>
      </c>
      <c r="F49" s="1416"/>
      <c r="G49" s="1414">
        <f>T49</f>
        <v>7702</v>
      </c>
      <c r="H49" s="1415"/>
      <c r="I49" s="1416">
        <f>V49</f>
        <v>7478</v>
      </c>
      <c r="J49" s="489"/>
      <c r="K49" s="783"/>
      <c r="L49" s="1144"/>
      <c r="M49" s="1132"/>
      <c r="N49" s="1132"/>
      <c r="O49" s="1132"/>
      <c r="P49" s="3206" t="str">
        <f>A49</f>
        <v>比较价值（元/平方米）</v>
      </c>
      <c r="Q49" s="3207"/>
      <c r="R49" s="3208">
        <f>IF(F1="售价",ROUND(PRODUCT(R48,AA7:AA47),0),ROUND(PRODUCT(R48,AA7:AA47),1))</f>
        <v>6483</v>
      </c>
      <c r="S49" s="3208"/>
      <c r="T49" s="3208">
        <f>IF(F1="售价",ROUND(PRODUCT(T48,AB7:AB47),0),ROUND(PRODUCT(T48,AB7:AB47),1))</f>
        <v>7702</v>
      </c>
      <c r="U49" s="3208"/>
      <c r="V49" s="3208">
        <f>IF(F1="售价",ROUND(PRODUCT(V48,AC7:AC47),0),ROUND(PRODUCT(V48,AC7:AC47),1))</f>
        <v>7478</v>
      </c>
      <c r="W49" s="3208"/>
      <c r="X49" s="446"/>
      <c r="Y49" s="446"/>
      <c r="Z49" s="446"/>
      <c r="AA49" s="446"/>
      <c r="AB49" s="446"/>
      <c r="AC49" s="630"/>
    </row>
    <row r="50" spans="1:29" ht="15.75" thickBot="1">
      <c r="A50" s="492" t="s">
        <v>3321</v>
      </c>
      <c r="B50" s="493"/>
      <c r="C50" s="1418">
        <f>R50</f>
        <v>7221</v>
      </c>
      <c r="D50" s="1418"/>
      <c r="E50" s="1418"/>
      <c r="F50" s="1418"/>
      <c r="G50" s="1418"/>
      <c r="H50" s="1418"/>
      <c r="I50" s="1418"/>
      <c r="J50" s="494"/>
      <c r="K50" s="784"/>
      <c r="L50" s="1144"/>
      <c r="M50" s="1132"/>
      <c r="N50" s="1132"/>
      <c r="O50" s="1132"/>
      <c r="P50" s="3209" t="str">
        <f>A50</f>
        <v>估价对象办公用房的比较价值（楼面单价，元/平方米）</v>
      </c>
      <c r="Q50" s="3210"/>
      <c r="R50" s="3211">
        <f>IF(F1="售价",ROUND(AVERAGE(R49:V49),0),ROUND(AVERAGE(R49:V49),1))</f>
        <v>7221</v>
      </c>
      <c r="S50" s="3211"/>
      <c r="T50" s="3211"/>
      <c r="U50" s="3211"/>
      <c r="V50" s="3211"/>
      <c r="W50" s="3211"/>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2652</v>
      </c>
      <c r="D53" s="498"/>
      <c r="E53" s="499">
        <f>IF(E48&lt;E49,E49/E48-1,E48/E49-1)</f>
        <v>4.88971155329323E-2</v>
      </c>
      <c r="F53" s="500" t="str">
        <f>IF(OR(E53&gt;=0.3,E53&lt;=-0.3),"超过30%","")</f>
        <v/>
      </c>
      <c r="G53" s="499">
        <f>IF(G48&lt;G49,G49/G48-1,G48/G49-1)</f>
        <v>1.7917424045702512E-2</v>
      </c>
      <c r="H53" s="500" t="str">
        <f>IF(OR(G53&gt;=0.3,G53&lt;=-0.3),"超过30%","")</f>
        <v/>
      </c>
      <c r="I53" s="499">
        <f>IF(I48&lt;I49,I49/I48-1,I48/I49-1)</f>
        <v>6.9804760631184903E-2</v>
      </c>
      <c r="J53" s="500" t="str">
        <f>IF(OR(I53&gt;=0.3,I53&lt;=-0.3),"超过30%","")</f>
        <v/>
      </c>
      <c r="K53" s="1106"/>
      <c r="L53" s="1107"/>
      <c r="M53" s="1145"/>
      <c r="N53" s="1145"/>
      <c r="O53" s="1145"/>
    </row>
    <row r="54" spans="1:29" ht="13.5" customHeight="1">
      <c r="A54" s="1145"/>
      <c r="B54" s="1145"/>
      <c r="C54" s="497" t="s">
        <v>2653</v>
      </c>
      <c r="D54" s="501"/>
      <c r="E54" s="499">
        <f>IF(E49&lt;G49,G49/E49-1,E49/G49-1)</f>
        <v>0.1880302329168595</v>
      </c>
      <c r="F54" s="500" t="str">
        <f>IF(OR(E54&gt;=0.2,E54&lt;=-0.2),"超过20%","")</f>
        <v/>
      </c>
      <c r="G54" s="499">
        <f>IF(G49&lt;I49,I49/G49-1,G49/I49-1)</f>
        <v>2.9954533297673169E-2</v>
      </c>
      <c r="H54" s="500" t="str">
        <f>IF(OR(G54&gt;=0.2,G54&lt;=-0.2),"超过20%","")</f>
        <v/>
      </c>
      <c r="I54" s="499">
        <f>IF(I49&lt;E49,E49/I49-1,I49/E49-1)</f>
        <v>0.15347832793459815</v>
      </c>
      <c r="J54" s="500" t="str">
        <f>IF(OR(I54&gt;=0.2,I54&lt;=-0.2),"超过20%","")</f>
        <v/>
      </c>
      <c r="K54" s="1106"/>
      <c r="L54" s="1107"/>
      <c r="M54" s="1145"/>
      <c r="N54" s="1145"/>
      <c r="O54" s="1145"/>
    </row>
    <row r="55" spans="1:29" s="502" customFormat="1" ht="13.5" customHeight="1">
      <c r="A55" s="1146"/>
      <c r="B55" s="1146"/>
      <c r="C55" s="497" t="s">
        <v>2654</v>
      </c>
      <c r="D55" s="501"/>
      <c r="E55" s="499">
        <f>IF(E48&lt;G48,G48/E48-1,E48/G48-1)</f>
        <v>0.15294117647058814</v>
      </c>
      <c r="F55" s="500" t="str">
        <f>IF(OR(E55&gt;=0.3,E55&lt;=-0.3),"超过30%","")</f>
        <v/>
      </c>
      <c r="G55" s="499">
        <f>IF(G48&lt;I48,I48/G48-1,G48/I48-1)</f>
        <v>2.0408163265306145E-2</v>
      </c>
      <c r="H55" s="500" t="str">
        <f>IF(OR(G55&gt;=0.3,G55&lt;=-0.3),"超过30%","")</f>
        <v/>
      </c>
      <c r="I55" s="499">
        <f>IF(I48&lt;E48,E48/I48-1,I48/E48-1)</f>
        <v>0.17647058823529416</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2655</v>
      </c>
      <c r="B58" s="758"/>
      <c r="C58" s="763"/>
      <c r="D58" s="763"/>
      <c r="E58" s="763"/>
      <c r="F58" s="764"/>
      <c r="G58" s="764"/>
      <c r="H58" s="763"/>
      <c r="I58" s="763"/>
      <c r="J58" s="763"/>
      <c r="K58" s="765"/>
      <c r="L58" s="1162"/>
      <c r="M58" s="1160"/>
      <c r="N58" s="1160"/>
      <c r="O58" s="1160"/>
      <c r="P58" s="2678"/>
      <c r="Q58" s="504"/>
    </row>
    <row r="59" spans="1:29" s="508" customFormat="1" ht="15">
      <c r="A59" s="505" t="s">
        <v>2529</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2566</v>
      </c>
      <c r="B61" s="516"/>
      <c r="C61" s="517"/>
      <c r="D61" s="518"/>
      <c r="E61" s="518"/>
      <c r="F61" s="518"/>
      <c r="G61" s="518"/>
      <c r="H61" s="518"/>
      <c r="I61" s="518"/>
      <c r="J61" s="518"/>
      <c r="K61" s="518"/>
      <c r="L61" s="518"/>
      <c r="M61" s="519"/>
      <c r="N61" s="518"/>
      <c r="O61" s="519"/>
      <c r="P61" s="2679"/>
      <c r="Q61" s="504"/>
    </row>
    <row r="62" spans="1:29" s="117" customFormat="1" ht="15">
      <c r="A62" s="521" t="s">
        <v>2531</v>
      </c>
      <c r="B62" s="510"/>
      <c r="C62" s="522" t="s">
        <v>2633</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2569</v>
      </c>
      <c r="B64" s="528" t="s">
        <v>2535</v>
      </c>
      <c r="C64" s="529" t="str">
        <f>C9</f>
        <v>办公</v>
      </c>
      <c r="D64" s="2985" t="s">
        <v>3311</v>
      </c>
      <c r="E64" s="530"/>
      <c r="F64" s="530"/>
      <c r="G64" s="530"/>
      <c r="H64" s="530"/>
      <c r="I64" s="530"/>
      <c r="J64" s="530"/>
      <c r="K64" s="531"/>
      <c r="L64" s="532"/>
      <c r="M64" s="533"/>
      <c r="N64" s="1153"/>
      <c r="O64" s="1153"/>
      <c r="P64" s="2681"/>
      <c r="Q64" s="504"/>
    </row>
    <row r="65" spans="1:17" ht="15.75" thickBot="1">
      <c r="A65" s="534"/>
      <c r="B65" s="535"/>
      <c r="C65" s="536">
        <v>100</v>
      </c>
      <c r="D65" s="536">
        <v>120</v>
      </c>
      <c r="E65" s="536"/>
      <c r="F65" s="536"/>
      <c r="G65" s="536"/>
      <c r="H65" s="536"/>
      <c r="I65" s="536"/>
      <c r="J65" s="536"/>
      <c r="K65" s="536"/>
      <c r="L65" s="536"/>
      <c r="M65" s="537"/>
      <c r="N65" s="1154"/>
      <c r="O65" s="1154"/>
      <c r="P65" s="2681"/>
      <c r="Q65" s="504"/>
    </row>
    <row r="66" spans="1:17" ht="27.75" thickTop="1">
      <c r="A66" s="534"/>
      <c r="B66" s="538" t="s">
        <v>2538</v>
      </c>
      <c r="C66" s="539" t="s">
        <v>2570</v>
      </c>
      <c r="D66" s="539" t="s">
        <v>2571</v>
      </c>
      <c r="E66" s="539" t="s">
        <v>2572</v>
      </c>
      <c r="F66" s="539" t="s">
        <v>2573</v>
      </c>
      <c r="G66" s="539" t="s">
        <v>2574</v>
      </c>
      <c r="H66" s="539" t="s">
        <v>2575</v>
      </c>
      <c r="I66" s="539" t="s">
        <v>2576</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2539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2540</v>
      </c>
      <c r="B77" s="528" t="s">
        <v>2678</v>
      </c>
      <c r="C77" s="573" t="s">
        <v>2578</v>
      </c>
      <c r="D77" s="573" t="s">
        <v>2579</v>
      </c>
      <c r="E77" s="573" t="s">
        <v>2580</v>
      </c>
      <c r="F77" s="573" t="s">
        <v>2581</v>
      </c>
      <c r="G77" s="573" t="s">
        <v>2582</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2583</v>
      </c>
      <c r="C79" s="578" t="s">
        <v>2578</v>
      </c>
      <c r="D79" s="578" t="s">
        <v>2579</v>
      </c>
      <c r="E79" s="578" t="s">
        <v>2580</v>
      </c>
      <c r="F79" s="578" t="s">
        <v>2581</v>
      </c>
      <c r="G79" s="578" t="s">
        <v>2582</v>
      </c>
      <c r="H79" s="539"/>
      <c r="I79" s="539"/>
      <c r="J79" s="539"/>
      <c r="K79" s="540"/>
      <c r="L79" s="541"/>
      <c r="M79" s="542"/>
      <c r="N79" s="1153"/>
      <c r="O79" s="1153"/>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1"/>
      <c r="Q80" s="504"/>
    </row>
    <row r="81" spans="1:17" ht="15.75" thickTop="1">
      <c r="A81" s="534"/>
      <c r="B81" s="538" t="s">
        <v>2584</v>
      </c>
      <c r="C81" s="578" t="s">
        <v>2578</v>
      </c>
      <c r="D81" s="578" t="s">
        <v>2579</v>
      </c>
      <c r="E81" s="578" t="s">
        <v>2580</v>
      </c>
      <c r="F81" s="578" t="s">
        <v>2581</v>
      </c>
      <c r="G81" s="578" t="s">
        <v>2582</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2670</v>
      </c>
      <c r="C83" s="660" t="s">
        <v>2656</v>
      </c>
      <c r="D83" s="660" t="s">
        <v>2657</v>
      </c>
      <c r="E83" s="660" t="s">
        <v>2658</v>
      </c>
      <c r="F83" s="660" t="s">
        <v>2659</v>
      </c>
      <c r="G83" s="660" t="s">
        <v>2660</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2679</v>
      </c>
      <c r="C85" s="578" t="s">
        <v>2578</v>
      </c>
      <c r="D85" s="578" t="s">
        <v>2579</v>
      </c>
      <c r="E85" s="578" t="s">
        <v>2580</v>
      </c>
      <c r="F85" s="578" t="s">
        <v>2581</v>
      </c>
      <c r="G85" s="578" t="s">
        <v>2582</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2680</v>
      </c>
      <c r="C87" s="2984" t="s">
        <v>3136</v>
      </c>
      <c r="D87" s="2984" t="s">
        <v>3137</v>
      </c>
      <c r="E87" s="2984" t="s">
        <v>3139</v>
      </c>
      <c r="F87" s="2984" t="s">
        <v>3140</v>
      </c>
      <c r="G87" s="2984" t="s">
        <v>3142</v>
      </c>
      <c r="H87" s="554"/>
      <c r="I87" s="554"/>
      <c r="J87" s="554"/>
      <c r="K87" s="554"/>
      <c r="L87" s="580"/>
      <c r="M87" s="581"/>
      <c r="N87" s="1152"/>
      <c r="O87" s="1152"/>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1"/>
      <c r="Q88" s="504"/>
    </row>
    <row r="89" spans="1:17" s="117" customFormat="1" ht="15.75" thickTop="1">
      <c r="A89" s="579"/>
      <c r="B89" s="538" t="str">
        <f>B27</f>
        <v>楼层</v>
      </c>
      <c r="C89" s="2984" t="s">
        <v>3144</v>
      </c>
      <c r="D89" s="2984" t="s">
        <v>3146</v>
      </c>
      <c r="E89" s="2984" t="s">
        <v>3147</v>
      </c>
      <c r="F89" s="2632"/>
      <c r="G89" s="554"/>
      <c r="H89" s="554"/>
      <c r="I89" s="554"/>
      <c r="J89" s="554"/>
      <c r="K89" s="554"/>
      <c r="L89" s="554"/>
      <c r="M89" s="581"/>
      <c r="N89" s="1152"/>
      <c r="O89" s="1152"/>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2544</v>
      </c>
      <c r="B101" s="528" t="s">
        <v>2593</v>
      </c>
      <c r="C101" s="2985" t="s">
        <v>3303</v>
      </c>
      <c r="D101" s="2985" t="s">
        <v>3305</v>
      </c>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2594</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2595</v>
      </c>
      <c r="C106" s="2984" t="s">
        <v>3148</v>
      </c>
      <c r="D106" s="2984" t="s">
        <v>3149</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2597</v>
      </c>
      <c r="C108" s="2984" t="s">
        <v>3150</v>
      </c>
      <c r="D108" s="2984" t="s">
        <v>3152</v>
      </c>
      <c r="E108" s="2984" t="s">
        <v>3153</v>
      </c>
      <c r="F108" s="2986" t="s">
        <v>3155</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2681</v>
      </c>
      <c r="C113" s="554" t="s">
        <v>3156</v>
      </c>
      <c r="D113" s="2984" t="s">
        <v>3157</v>
      </c>
      <c r="E113" s="2984" t="s">
        <v>3158</v>
      </c>
      <c r="F113" s="2984" t="s">
        <v>3159</v>
      </c>
      <c r="G113" s="2984" t="s">
        <v>3160</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2598</v>
      </c>
      <c r="C115" s="2984" t="s">
        <v>3161</v>
      </c>
      <c r="D115" s="2984" t="s">
        <v>3163</v>
      </c>
      <c r="E115" s="2986" t="s">
        <v>3164</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1"/>
      <c r="Q116" s="504"/>
    </row>
    <row r="117" spans="1:17" ht="15" thickTop="1">
      <c r="A117" s="599"/>
      <c r="B117" s="538" t="s">
        <v>2599</v>
      </c>
      <c r="C117" s="2984" t="s">
        <v>3165</v>
      </c>
      <c r="D117" s="2984" t="s">
        <v>3166</v>
      </c>
      <c r="E117" s="2984" t="s">
        <v>3168</v>
      </c>
      <c r="F117" s="2984" t="s">
        <v>3169</v>
      </c>
      <c r="G117" s="2984" t="s">
        <v>3170</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2682</v>
      </c>
      <c r="C119" s="2986" t="s">
        <v>3171</v>
      </c>
      <c r="D119" s="2986" t="s">
        <v>3173</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2665</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2601</v>
      </c>
      <c r="C123" s="2984" t="s">
        <v>3150</v>
      </c>
      <c r="D123" s="2984" t="s">
        <v>3152</v>
      </c>
      <c r="E123" s="2984" t="s">
        <v>3153</v>
      </c>
      <c r="F123" s="2986" t="s">
        <v>3155</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2602</v>
      </c>
      <c r="C125" s="578" t="s">
        <v>2578</v>
      </c>
      <c r="D125" s="578" t="s">
        <v>2579</v>
      </c>
      <c r="E125" s="578" t="s">
        <v>2580</v>
      </c>
      <c r="F125" s="578" t="s">
        <v>2581</v>
      </c>
      <c r="G125" s="578" t="s">
        <v>2582</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4" t="s">
        <v>3178</v>
      </c>
      <c r="D127" s="2984" t="s">
        <v>3179</v>
      </c>
      <c r="E127" s="2984" t="s">
        <v>3322</v>
      </c>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5"/>
      <c r="O128" s="1155"/>
      <c r="P128" s="2682"/>
      <c r="Q128" s="559"/>
    </row>
    <row r="129" spans="1:17" ht="15" thickTop="1">
      <c r="A129" s="599"/>
      <c r="B129" s="538" t="str">
        <f>B46</f>
        <v>是否带电梯</v>
      </c>
      <c r="C129" s="2984" t="s">
        <v>3314</v>
      </c>
      <c r="D129" s="2984" t="s">
        <v>3313</v>
      </c>
      <c r="E129" s="554"/>
      <c r="F129" s="554"/>
      <c r="G129" s="583"/>
      <c r="H129" s="583"/>
      <c r="I129" s="583"/>
      <c r="J129" s="583"/>
      <c r="K129" s="584"/>
      <c r="L129" s="585"/>
      <c r="M129" s="586"/>
      <c r="N129" s="1153"/>
      <c r="O129" s="1153"/>
      <c r="P129" s="2681"/>
      <c r="Q129" s="504"/>
    </row>
    <row r="130" spans="1:17" ht="15.75" thickBot="1">
      <c r="A130" s="534"/>
      <c r="B130" s="543"/>
      <c r="C130" s="560">
        <v>100</v>
      </c>
      <c r="D130" s="560">
        <v>97</v>
      </c>
      <c r="E130" s="560"/>
      <c r="F130" s="560"/>
      <c r="G130" s="536"/>
      <c r="H130" s="536"/>
      <c r="I130" s="536"/>
      <c r="J130" s="536"/>
      <c r="K130" s="536"/>
      <c r="L130" s="536"/>
      <c r="M130" s="537"/>
      <c r="N130" s="1154"/>
      <c r="O130" s="1154"/>
      <c r="P130" s="2681"/>
      <c r="Q130" s="504"/>
    </row>
    <row r="131" spans="1:17" ht="15" thickTop="1">
      <c r="A131" s="599"/>
      <c r="B131" s="546" t="str">
        <f>B47</f>
        <v>是否有车位</v>
      </c>
      <c r="C131" s="3013" t="s">
        <v>3314</v>
      </c>
      <c r="D131" s="3013" t="s">
        <v>3313</v>
      </c>
      <c r="E131" s="523"/>
      <c r="F131" s="523"/>
      <c r="G131" s="587"/>
      <c r="H131" s="587"/>
      <c r="I131" s="587"/>
      <c r="J131" s="587"/>
      <c r="K131" s="523"/>
      <c r="L131" s="524"/>
      <c r="M131" s="590"/>
      <c r="N131" s="1153"/>
      <c r="O131" s="1153"/>
      <c r="P131" s="2681"/>
      <c r="Q131" s="504"/>
    </row>
    <row r="132" spans="1:17" ht="15.75" thickBot="1">
      <c r="A132" s="2633"/>
      <c r="B132" s="569"/>
      <c r="C132" s="570">
        <v>100</v>
      </c>
      <c r="D132" s="570">
        <v>97</v>
      </c>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16" t="str">
        <f>项目基本情况!B1</f>
        <v>新疆维吾尔自治区塔城市新城区伊宁路1-5层部分办公用房房地产市场价值预评估</v>
      </c>
      <c r="C37" s="3016"/>
      <c r="D37" s="3016"/>
      <c r="E37" s="3016"/>
      <c r="F37" s="3016"/>
      <c r="G37" s="3016"/>
      <c r="H37" s="3016"/>
      <c r="I37" s="3016"/>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康正预评字2017-1-1080号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8" sqref="D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27</v>
      </c>
      <c r="D1" s="1822" t="s">
        <v>70</v>
      </c>
      <c r="E1" s="1823" t="s">
        <v>1384</v>
      </c>
      <c r="F1" s="1284">
        <f ca="1">J53</f>
        <v>23.1</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801</v>
      </c>
      <c r="C2" s="1847" t="s">
        <v>1589</v>
      </c>
      <c r="D2" s="1940">
        <f ca="1">C40+J29+L46</f>
        <v>8013786</v>
      </c>
      <c r="E2" s="1848" t="s">
        <v>1590</v>
      </c>
      <c r="F2" s="1849"/>
      <c r="G2" s="1850"/>
      <c r="H2" s="1842"/>
      <c r="I2" s="1842"/>
      <c r="J2" s="1842"/>
      <c r="K2" s="1843"/>
      <c r="L2" s="1842"/>
      <c r="M2" s="1842"/>
    </row>
    <row r="3" spans="1:37" ht="18" customHeight="1" thickBot="1">
      <c r="A3" s="1851" t="s">
        <v>1591</v>
      </c>
      <c r="B3" s="1852">
        <f ca="1">IF(ISERROR(D2/F43),0,ROUND(D2/F43,0))</f>
        <v>3511</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750878</v>
      </c>
      <c r="D5" s="1824" t="s">
        <v>1599</v>
      </c>
      <c r="E5" s="1294"/>
      <c r="F5" s="1295"/>
      <c r="G5" s="1853"/>
      <c r="H5" s="344">
        <v>1</v>
      </c>
      <c r="I5" s="345" t="s">
        <v>1598</v>
      </c>
      <c r="J5" s="1293">
        <f ca="1">J6+J10+J12</f>
        <v>0</v>
      </c>
      <c r="K5" s="1824" t="s">
        <v>1599</v>
      </c>
      <c r="L5" s="1294"/>
      <c r="M5" s="1295"/>
    </row>
    <row r="6" spans="1:37" ht="18" customHeight="1">
      <c r="A6" s="1292" t="s">
        <v>1034</v>
      </c>
      <c r="B6" s="3255" t="s">
        <v>1400</v>
      </c>
      <c r="C6" s="1297">
        <f ca="1">ROUND(F6*F8*F7*(1-F9),0)</f>
        <v>749837</v>
      </c>
      <c r="D6" s="164" t="s">
        <v>3008</v>
      </c>
      <c r="E6" s="347" t="s">
        <v>1402</v>
      </c>
      <c r="F6" s="348">
        <f ca="1">INDIRECT("'数据-取费表'!u"&amp;$G$1)</f>
        <v>1</v>
      </c>
      <c r="G6" s="1853"/>
      <c r="H6" s="1292" t="s">
        <v>1034</v>
      </c>
      <c r="I6" s="3255" t="s">
        <v>1400</v>
      </c>
      <c r="J6" s="346">
        <f ca="1">ROUND(M6*M8*M7*(1-M9),0)</f>
        <v>0</v>
      </c>
      <c r="K6" s="1836" t="s">
        <v>3011</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2282.61</v>
      </c>
      <c r="G7" s="1853"/>
      <c r="H7" s="349"/>
      <c r="I7" s="3256"/>
      <c r="J7" s="351"/>
      <c r="K7" s="352"/>
      <c r="L7" s="347" t="s">
        <v>1403</v>
      </c>
      <c r="M7" s="348">
        <f ca="1">F7</f>
        <v>2282.61</v>
      </c>
    </row>
    <row r="8" spans="1:37" ht="18" customHeight="1">
      <c r="A8" s="349"/>
      <c r="B8" s="3256"/>
      <c r="C8" s="351"/>
      <c r="D8" s="352"/>
      <c r="E8" s="347" t="s">
        <v>1404</v>
      </c>
      <c r="F8" s="348">
        <f ca="1">INDIRECT("'数据-取费表'!ai"&amp;$G$1)</f>
        <v>365</v>
      </c>
      <c r="G8" s="1853"/>
      <c r="H8" s="349"/>
      <c r="I8" s="3256"/>
      <c r="J8" s="351"/>
      <c r="K8" s="352"/>
      <c r="L8" s="347" t="s">
        <v>1404</v>
      </c>
      <c r="M8" s="348">
        <f ca="1">INDIRECT("'数据-取费表'!ai"&amp;$G$1)</f>
        <v>365</v>
      </c>
    </row>
    <row r="9" spans="1:37" ht="18" customHeight="1">
      <c r="A9" s="349"/>
      <c r="B9" s="3257"/>
      <c r="C9" s="351"/>
      <c r="D9" s="352"/>
      <c r="E9" s="347" t="s">
        <v>1405</v>
      </c>
      <c r="F9" s="357">
        <f ca="1">INDIRECT("'数据-取费表'!w"&amp;$G$1)</f>
        <v>0.1</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1041</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5037812</v>
      </c>
      <c r="D13" s="1332" t="s">
        <v>1413</v>
      </c>
      <c r="E13" s="1332" t="s">
        <v>1414</v>
      </c>
      <c r="F13" s="1333">
        <f ca="1">INDIRECT("'数据-取费表'!y"&amp;$G$1)</f>
        <v>0.9</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4108698</v>
      </c>
      <c r="D14" s="1802" t="s">
        <v>1416</v>
      </c>
      <c r="E14" s="1796"/>
      <c r="F14" s="364"/>
      <c r="G14" s="1853"/>
      <c r="H14" s="1202" t="s">
        <v>1034</v>
      </c>
      <c r="I14" s="347" t="s">
        <v>1417</v>
      </c>
      <c r="J14" s="24">
        <f ca="1">C29</f>
        <v>5597569</v>
      </c>
      <c r="K14" s="15"/>
      <c r="L14" s="980"/>
      <c r="M14" s="981"/>
    </row>
    <row r="15" spans="1:37" s="1860" customFormat="1" ht="18" customHeight="1" thickBot="1">
      <c r="A15" s="1202" t="s">
        <v>1035</v>
      </c>
      <c r="B15" s="347" t="s">
        <v>1418</v>
      </c>
      <c r="C15" s="24">
        <f ca="1">ROUND(C14*F15,0)</f>
        <v>123261</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135198</v>
      </c>
      <c r="K16" s="1338" t="s">
        <v>1423</v>
      </c>
      <c r="L16" s="1339"/>
      <c r="M16" s="1295"/>
    </row>
    <row r="17" spans="1:37" s="1860" customFormat="1" ht="18" customHeight="1">
      <c r="A17" s="1202" t="s">
        <v>1387</v>
      </c>
      <c r="B17" s="347" t="s">
        <v>1424</v>
      </c>
      <c r="C17" s="24">
        <f ca="1">ROUND(F17*(F43+INDIRECT("'数据-取费表'!S"&amp;$G$1)),0)</f>
        <v>228261</v>
      </c>
      <c r="D17" s="347" t="s">
        <v>1425</v>
      </c>
      <c r="E17" s="347" t="s">
        <v>1426</v>
      </c>
      <c r="F17" s="26">
        <f>'数据-取费表'!B35</f>
        <v>100</v>
      </c>
      <c r="G17" s="1856"/>
      <c r="H17" s="1202" t="s">
        <v>1034</v>
      </c>
      <c r="I17" s="347" t="s">
        <v>1427</v>
      </c>
      <c r="J17" s="24">
        <f ca="1">ROUND(IF(项目基本情况!B11="自然人",J5*M17,J18+J19+J20),0)</f>
        <v>51234</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61630</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4521850</v>
      </c>
      <c r="D19" s="140" t="s">
        <v>1434</v>
      </c>
      <c r="E19" s="1820"/>
      <c r="F19" s="26"/>
      <c r="G19" s="1853"/>
      <c r="H19" s="1202" t="s">
        <v>1035</v>
      </c>
      <c r="I19" s="347" t="s">
        <v>1435</v>
      </c>
      <c r="J19" s="24">
        <f ca="1">IF(K19="按租金收入计税",ROUND(J5*M19,0),ROUND(C29*M19*0.7,0))</f>
        <v>47020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90437</v>
      </c>
      <c r="D20" s="369" t="s">
        <v>1438</v>
      </c>
      <c r="E20" s="347" t="s">
        <v>1420</v>
      </c>
      <c r="F20" s="367">
        <f>'数据-取费表'!B37</f>
        <v>0.02</v>
      </c>
      <c r="G20" s="1856"/>
      <c r="H20" s="1202" t="s">
        <v>1386</v>
      </c>
      <c r="I20" s="164" t="s">
        <v>1439</v>
      </c>
      <c r="J20" s="25">
        <f ca="1">ROUND(M20*M21,0)</f>
        <v>4214</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ROUND(J14*M22,0)</f>
        <v>83964</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100317</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ROUND(J5*M24,0)</f>
        <v>0</v>
      </c>
      <c r="K24" s="1343" t="s">
        <v>1457</v>
      </c>
      <c r="L24" s="1341" t="s">
        <v>1453</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-135198</v>
      </c>
      <c r="K25" s="1346" t="s">
        <v>1462</v>
      </c>
      <c r="L25" s="1347"/>
      <c r="M25" s="1348"/>
    </row>
    <row r="26" spans="1:37" ht="18" customHeight="1">
      <c r="A26" s="1202" t="s">
        <v>1033</v>
      </c>
      <c r="B26" s="347" t="s">
        <v>1463</v>
      </c>
      <c r="C26" s="24">
        <f ca="1">ROUND((C19+C20)*F26,0)</f>
        <v>461229</v>
      </c>
      <c r="D26" s="369" t="s">
        <v>1464</v>
      </c>
      <c r="E26" s="358" t="s">
        <v>1465</v>
      </c>
      <c r="F26" s="357">
        <f ca="1">INDIRECT("'数据-取费表'!q"&amp;$G$1)</f>
        <v>0.1</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2E-3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5597569</v>
      </c>
      <c r="D29" s="1343"/>
      <c r="E29" s="1341"/>
      <c r="F29" s="1344"/>
      <c r="G29" s="1856"/>
      <c r="H29" s="380" t="s">
        <v>1032</v>
      </c>
      <c r="I29" s="381" t="s">
        <v>1477</v>
      </c>
      <c r="J29" s="382">
        <f ca="1">ROUND(J26/(1+F40)^F41,0)</f>
        <v>0</v>
      </c>
      <c r="K29" s="383" t="s">
        <v>1478</v>
      </c>
      <c r="L29" s="384"/>
      <c r="M29" s="385">
        <f ca="1">INDIRECT("'数据-取费表'!k"&amp;$G$1)</f>
        <v>2282.61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258321</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91281</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40047</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47020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4214</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602</v>
      </c>
      <c r="G35" s="1853"/>
      <c r="H35" s="744"/>
      <c r="I35" s="1862"/>
      <c r="J35" s="1863"/>
      <c r="K35" s="1864"/>
      <c r="L35" s="1861"/>
      <c r="M35" s="1861"/>
    </row>
    <row r="36" spans="1:18" ht="18" customHeight="1">
      <c r="A36" s="1353" t="s">
        <v>1038</v>
      </c>
      <c r="B36" s="347" t="s">
        <v>1447</v>
      </c>
      <c r="C36" s="24">
        <f ca="1">ROUND(C29*F36,0)</f>
        <v>83964</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75567</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7508.8</v>
      </c>
      <c r="D38" s="1343" t="s">
        <v>1457</v>
      </c>
      <c r="E38" s="1341" t="s">
        <v>1453</v>
      </c>
      <c r="F38" s="1337">
        <f ca="1">INDIRECT("'数据-取费表'!Am"&amp;$G$1)</f>
        <v>0.01</v>
      </c>
      <c r="G38" s="1853"/>
      <c r="H38" s="1861"/>
      <c r="I38" s="1862"/>
      <c r="J38" s="1863"/>
      <c r="K38" s="1867"/>
      <c r="L38" s="1861"/>
      <c r="M38" s="1861"/>
    </row>
    <row r="39" spans="1:18" ht="24.6" customHeight="1" thickTop="1">
      <c r="A39" s="1330" t="s">
        <v>1030</v>
      </c>
      <c r="B39" s="1345" t="s">
        <v>1481</v>
      </c>
      <c r="C39" s="355">
        <f ca="1">C5-C30</f>
        <v>492557</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8013786</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23.1</v>
      </c>
      <c r="G41" s="1853"/>
      <c r="H41" s="731"/>
      <c r="I41" s="1862"/>
      <c r="J41" s="1863"/>
      <c r="K41" s="750"/>
      <c r="L41" s="731"/>
      <c r="M41" s="731"/>
    </row>
    <row r="42" spans="1:18" ht="18" customHeight="1">
      <c r="A42" s="353"/>
      <c r="B42" s="354"/>
      <c r="C42" s="355"/>
      <c r="D42" s="373"/>
      <c r="E42" s="347" t="s">
        <v>1475</v>
      </c>
      <c r="F42" s="357">
        <f ca="1">INDIRECT("'数据-取费表'!v"&amp;$G$1)</f>
        <v>0.02</v>
      </c>
      <c r="G42" s="1853"/>
      <c r="H42" s="731"/>
      <c r="I42" s="1862"/>
      <c r="J42" s="1863"/>
      <c r="K42" s="750"/>
      <c r="L42" s="731"/>
      <c r="M42" s="731"/>
    </row>
    <row r="43" spans="1:18" ht="18" customHeight="1" thickBot="1">
      <c r="A43" s="380" t="s">
        <v>1032</v>
      </c>
      <c r="B43" s="381" t="s">
        <v>1485</v>
      </c>
      <c r="C43" s="382">
        <f ca="1">ROUND(C40/F43,0)</f>
        <v>3511</v>
      </c>
      <c r="D43" s="383" t="s">
        <v>1486</v>
      </c>
      <c r="E43" s="384" t="s">
        <v>1487</v>
      </c>
      <c r="F43" s="385">
        <f ca="1">INDIRECT("'数据-取费表'!k"&amp;$G$1)</f>
        <v>2282.61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f ca="1">INDIRECT("'数据-取费表'!d"&amp;$G$1)</f>
        <v>40</v>
      </c>
      <c r="M47" s="1840" t="str">
        <f>IF(ISNUMBER(FIND("住宅",C1)),"住宅","非住宅")</f>
        <v>非住宅</v>
      </c>
      <c r="O47" s="1886" t="s">
        <v>1039</v>
      </c>
      <c r="P47" s="1887" t="s">
        <v>1526</v>
      </c>
      <c r="Q47" s="1888">
        <f ca="1">C40+J29</f>
        <v>8013786</v>
      </c>
      <c r="R47" s="1888" t="s">
        <v>1527</v>
      </c>
    </row>
    <row r="48" spans="1:18" s="1844" customFormat="1" ht="28.5" thickBot="1">
      <c r="A48" s="1361" t="s">
        <v>1134</v>
      </c>
      <c r="B48" s="345" t="s">
        <v>1398</v>
      </c>
      <c r="C48" s="1819">
        <f ca="1">C49+C53+C55</f>
        <v>750878</v>
      </c>
      <c r="D48" s="1363"/>
      <c r="E48" s="1364"/>
      <c r="F48" s="1182"/>
      <c r="G48" s="791"/>
      <c r="H48" s="792"/>
      <c r="I48" s="1889" t="s">
        <v>1528</v>
      </c>
      <c r="J48" s="1890" t="s">
        <v>3118</v>
      </c>
      <c r="K48" s="1891" t="s">
        <v>1529</v>
      </c>
      <c r="L48" s="1892">
        <f ca="1">INDIRECT("'数据-取费表'!f"&amp;$G$1)</f>
        <v>23.1</v>
      </c>
      <c r="O48" s="1886" t="s">
        <v>1040</v>
      </c>
      <c r="P48" s="1887" t="s">
        <v>1530</v>
      </c>
      <c r="Q48" s="1888" t="str">
        <f ca="1">J60</f>
        <v>0</v>
      </c>
      <c r="R48" s="1888" t="s">
        <v>1531</v>
      </c>
    </row>
    <row r="49" spans="1:18" s="1844" customFormat="1" ht="13.5" thickBot="1">
      <c r="A49" s="1195" t="s">
        <v>1135</v>
      </c>
      <c r="B49" s="1831" t="s">
        <v>1488</v>
      </c>
      <c r="C49" s="1365">
        <f ca="1">ROUND(F49*F51*F50*(1-F52),0)</f>
        <v>749837</v>
      </c>
      <c r="D49" s="1277" t="s">
        <v>1401</v>
      </c>
      <c r="E49" s="1832" t="s">
        <v>1489</v>
      </c>
      <c r="F49" s="1282">
        <f ca="1">F6</f>
        <v>1</v>
      </c>
      <c r="G49" s="1893"/>
      <c r="H49" s="792"/>
      <c r="I49" s="1889" t="s">
        <v>1532</v>
      </c>
      <c r="J49" s="1894">
        <v>1999</v>
      </c>
      <c r="K49" s="1891" t="s">
        <v>1533</v>
      </c>
      <c r="L49" s="1895"/>
      <c r="O49" s="1896" t="s">
        <v>1041</v>
      </c>
      <c r="P49" s="1887" t="s">
        <v>1534</v>
      </c>
      <c r="Q49" s="1888">
        <f ca="1">C29</f>
        <v>5597569</v>
      </c>
      <c r="R49" s="1888" t="s">
        <v>1527</v>
      </c>
    </row>
    <row r="50" spans="1:18" s="1844" customFormat="1" ht="13.5" thickBot="1">
      <c r="A50" s="1196"/>
      <c r="B50" s="1199"/>
      <c r="C50" s="1200"/>
      <c r="D50" s="1173"/>
      <c r="E50" s="1278" t="s">
        <v>1403</v>
      </c>
      <c r="F50" s="1279">
        <f ca="1">F7</f>
        <v>2282.61</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1269854</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23.1</v>
      </c>
      <c r="R52" s="1888" t="s">
        <v>1544</v>
      </c>
    </row>
    <row r="53" spans="1:18" s="1844" customFormat="1" ht="30.75" customHeight="1" thickBot="1">
      <c r="A53" s="1362" t="s">
        <v>1136</v>
      </c>
      <c r="B53" s="369" t="s">
        <v>1406</v>
      </c>
      <c r="C53" s="361">
        <f ca="1">ROUND(IF(F53="押一",F49*F51*F50/12*F11,IF(F53="押二",F49*F51*F50/12*2*F11,IF(F53="押三",F49*F51*F50/12*3*F11,C54*F11))),0)</f>
        <v>1041</v>
      </c>
      <c r="D53" s="1826" t="s">
        <v>1407</v>
      </c>
      <c r="E53" s="358" t="s">
        <v>1408</v>
      </c>
      <c r="F53" s="1367" t="s">
        <v>3030</v>
      </c>
      <c r="I53" s="1907" t="s">
        <v>1545</v>
      </c>
      <c r="J53" s="1908">
        <f ca="1">IF(M47="住宅",J51,IF(D1="——",MIN(J51,L48),IF(D1="在建（套用方法）",MIN(J51,L48-'数据-取费表'!B24),IF(D1="土地（套用方法）",MIN(J51,L48-'数据-取费表'!B20)))))</f>
        <v>23.1</v>
      </c>
      <c r="K53" s="3258" t="s">
        <v>1546</v>
      </c>
      <c r="L53" s="3259"/>
      <c r="O53" s="1886" t="s">
        <v>1045</v>
      </c>
      <c r="P53" s="1887" t="s">
        <v>1547</v>
      </c>
      <c r="Q53" s="1888">
        <f ca="1">Q47+Q48</f>
        <v>8013786</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5037812</v>
      </c>
      <c r="D56" s="1916"/>
      <c r="E56" s="1917"/>
      <c r="F56" s="1909"/>
      <c r="I56" s="1918" t="s">
        <v>1552</v>
      </c>
      <c r="J56" s="1919" t="s">
        <v>3021</v>
      </c>
      <c r="K56" s="1889" t="s">
        <v>1553</v>
      </c>
      <c r="L56" s="1892" t="str">
        <f ca="1">IF(L48&lt;J51,"——",L48-J51)</f>
        <v>——</v>
      </c>
      <c r="O56" s="1886" t="s">
        <v>1039</v>
      </c>
      <c r="P56" s="1887" t="s">
        <v>1526</v>
      </c>
      <c r="Q56" s="1888">
        <f ca="1">C40+J29</f>
        <v>8013786</v>
      </c>
      <c r="R56" s="1888" t="s">
        <v>1527</v>
      </c>
    </row>
    <row r="57" spans="1:18" s="1844" customFormat="1" ht="24.75" thickBot="1">
      <c r="A57" s="1920"/>
      <c r="B57" s="1170" t="s">
        <v>1476</v>
      </c>
      <c r="C57" s="282">
        <f ca="1">C29</f>
        <v>5597569</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258321</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91281</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40047</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47020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4214</v>
      </c>
      <c r="D62" s="1185" t="s">
        <v>1495</v>
      </c>
      <c r="E62" s="1170" t="s">
        <v>1496</v>
      </c>
      <c r="F62" s="371">
        <f t="shared" si="0"/>
        <v>7</v>
      </c>
      <c r="I62" s="1931" t="s">
        <v>1568</v>
      </c>
      <c r="J62" s="1932" t="s">
        <v>1569</v>
      </c>
      <c r="K62" s="1932" t="s">
        <v>1570</v>
      </c>
      <c r="L62" s="1932" t="s">
        <v>1571</v>
      </c>
      <c r="M62" s="1933" t="s">
        <v>1572</v>
      </c>
      <c r="O62" s="1886" t="s">
        <v>1045</v>
      </c>
      <c r="P62" s="1887" t="s">
        <v>1573</v>
      </c>
      <c r="Q62" s="1888">
        <f ca="1">Q56+Q57</f>
        <v>8013786</v>
      </c>
      <c r="R62" s="1888" t="s">
        <v>1046</v>
      </c>
    </row>
    <row r="63" spans="1:18" s="1844" customFormat="1" ht="13.5" thickBot="1">
      <c r="A63" s="372"/>
      <c r="B63" s="1176"/>
      <c r="C63" s="29"/>
      <c r="D63" s="1186"/>
      <c r="E63" s="1170" t="s">
        <v>1497</v>
      </c>
      <c r="F63" s="348">
        <f t="shared" ca="1" si="0"/>
        <v>602</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83964</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75567</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8013786</v>
      </c>
      <c r="R65" s="1888" t="s">
        <v>1527</v>
      </c>
    </row>
    <row r="66" spans="1:18" s="1844" customFormat="1" ht="16.5" thickBot="1">
      <c r="A66" s="1202" t="s">
        <v>1502</v>
      </c>
      <c r="B66" s="1170" t="s">
        <v>1437</v>
      </c>
      <c r="C66" s="24">
        <f ca="1">ROUND(C48*F66,0)</f>
        <v>7509</v>
      </c>
      <c r="D66" s="1184" t="s">
        <v>1503</v>
      </c>
      <c r="E66" s="1170" t="s">
        <v>1420</v>
      </c>
      <c r="F66" s="357">
        <f t="shared" ca="1" si="0"/>
        <v>0.01</v>
      </c>
      <c r="O66" s="1886" t="s">
        <v>1040</v>
      </c>
      <c r="P66" s="1887" t="s">
        <v>1556</v>
      </c>
      <c r="Q66" s="1888">
        <f ca="1">L60</f>
        <v>0</v>
      </c>
      <c r="R66" s="1888" t="s">
        <v>1579</v>
      </c>
    </row>
    <row r="67" spans="1:18" s="1844" customFormat="1" ht="16.5" thickBot="1">
      <c r="A67" s="1177" t="s">
        <v>1030</v>
      </c>
      <c r="B67" s="1187" t="s">
        <v>1461</v>
      </c>
      <c r="C67" s="361">
        <f ca="1">C48-C58</f>
        <v>492557</v>
      </c>
      <c r="D67" s="1183" t="s">
        <v>1462</v>
      </c>
      <c r="E67" s="1188"/>
      <c r="F67" s="1189"/>
      <c r="O67" s="1896" t="s">
        <v>1041</v>
      </c>
      <c r="P67" s="1887" t="s">
        <v>1560</v>
      </c>
      <c r="Q67" s="1935">
        <f ca="1">L51</f>
        <v>1269854</v>
      </c>
      <c r="R67" s="1888" t="s">
        <v>1580</v>
      </c>
    </row>
    <row r="68" spans="1:18" s="1844" customFormat="1" ht="16.5" thickBot="1">
      <c r="A68" s="1167" t="s">
        <v>1031</v>
      </c>
      <c r="B68" s="1168" t="s">
        <v>1483</v>
      </c>
      <c r="C68" s="346">
        <f ca="1">ROUND(C67*(1-((1+F70)/(1+F68))^F69)/(F68-F70),0)</f>
        <v>8013786</v>
      </c>
      <c r="D68" s="1185" t="s">
        <v>1467</v>
      </c>
      <c r="E68" s="1170" t="s">
        <v>1468</v>
      </c>
      <c r="F68" s="357">
        <f ca="1">F40</f>
        <v>0.05</v>
      </c>
      <c r="O68" s="1896" t="s">
        <v>1042</v>
      </c>
      <c r="P68" s="1936" t="s">
        <v>1581</v>
      </c>
      <c r="Q68" s="1888">
        <f ca="1">ROUND(Q69-Q70*Q71,0)</f>
        <v>89532</v>
      </c>
      <c r="R68" s="1888" t="s">
        <v>1050</v>
      </c>
    </row>
    <row r="69" spans="1:18" s="1844" customFormat="1" ht="13.5" thickBot="1">
      <c r="A69" s="1171"/>
      <c r="B69" s="1172"/>
      <c r="C69" s="351"/>
      <c r="D69" s="1190" t="s">
        <v>1471</v>
      </c>
      <c r="E69" s="1170" t="s">
        <v>1472</v>
      </c>
      <c r="F69" s="379">
        <f ca="1">F41</f>
        <v>23.1</v>
      </c>
      <c r="O69" s="1896" t="s">
        <v>1047</v>
      </c>
      <c r="P69" s="1936" t="s">
        <v>1582</v>
      </c>
      <c r="Q69" s="1888">
        <f ca="1">C39</f>
        <v>492557</v>
      </c>
      <c r="R69" s="1888" t="s">
        <v>1527</v>
      </c>
    </row>
    <row r="70" spans="1:18" s="1844" customFormat="1" ht="13.5" thickBot="1">
      <c r="A70" s="1174"/>
      <c r="B70" s="1175"/>
      <c r="C70" s="355"/>
      <c r="D70" s="1186"/>
      <c r="E70" s="1170" t="s">
        <v>1475</v>
      </c>
      <c r="F70" s="1276">
        <f ca="1">F42</f>
        <v>0.02</v>
      </c>
      <c r="O70" s="1896" t="s">
        <v>1048</v>
      </c>
      <c r="P70" s="1936" t="s">
        <v>1583</v>
      </c>
      <c r="Q70" s="1888">
        <f ca="1">C13</f>
        <v>5037812</v>
      </c>
      <c r="R70" s="1888" t="s">
        <v>1527</v>
      </c>
    </row>
    <row r="71" spans="1:18" s="1844" customFormat="1" ht="13.5" thickBot="1">
      <c r="A71" s="1191" t="s">
        <v>1032</v>
      </c>
      <c r="B71" s="1192" t="s">
        <v>1485</v>
      </c>
      <c r="C71" s="382">
        <f ca="1">ROUND(C68/F71,0)</f>
        <v>3511</v>
      </c>
      <c r="D71" s="1193" t="s">
        <v>1486</v>
      </c>
      <c r="E71" s="1194" t="s">
        <v>1487</v>
      </c>
      <c r="F71" s="385">
        <f ca="1">F43</f>
        <v>2282.61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403025</v>
      </c>
      <c r="D75" s="1844"/>
      <c r="E75" s="1844"/>
      <c r="F75" s="1844"/>
      <c r="K75" s="1870"/>
      <c r="L75" s="1844"/>
      <c r="O75" s="1886" t="s">
        <v>1045</v>
      </c>
      <c r="P75" s="1887" t="s">
        <v>1547</v>
      </c>
      <c r="Q75" s="1888">
        <f ca="1">Q65+Q66</f>
        <v>8013786</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0.18200000000000005</v>
      </c>
    </row>
    <row r="80" spans="1:18">
      <c r="B80" s="386" t="s">
        <v>1509</v>
      </c>
      <c r="C80" s="318">
        <f ca="1">ROUND(C75/C39,3)</f>
        <v>0.81799999999999995</v>
      </c>
    </row>
    <row r="81" spans="2:3">
      <c r="B81" s="314" t="s">
        <v>1510</v>
      </c>
      <c r="C81" s="282"/>
    </row>
    <row r="82" spans="2:3">
      <c r="B82" s="317" t="s">
        <v>1511</v>
      </c>
      <c r="C82" s="319">
        <f ca="1">1-C83</f>
        <v>0.371</v>
      </c>
    </row>
    <row r="83" spans="2:3">
      <c r="B83" s="317" t="s">
        <v>1512</v>
      </c>
      <c r="C83" s="318">
        <f ca="1">ROUND(C13/C40,3)</f>
        <v>0.629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workbookViewId="0">
      <selection activeCell="D6" sqref="D6"/>
    </sheetView>
  </sheetViews>
  <sheetFormatPr defaultRowHeight="13.5"/>
  <sheetData>
    <row r="3" spans="2:5">
      <c r="B3" s="3014" t="s">
        <v>3318</v>
      </c>
      <c r="C3" s="3014" t="s">
        <v>3320</v>
      </c>
      <c r="D3" s="3014" t="s">
        <v>3319</v>
      </c>
      <c r="E3" s="3015"/>
    </row>
    <row r="4" spans="2:5">
      <c r="B4" s="3015"/>
      <c r="C4" s="3015">
        <v>600</v>
      </c>
      <c r="D4" s="3015">
        <v>29</v>
      </c>
      <c r="E4" s="3015">
        <f>D4/365/C4*10000</f>
        <v>1.3242009132420092</v>
      </c>
    </row>
    <row r="5" spans="2:5">
      <c r="B5" s="3015"/>
      <c r="C5" s="3015">
        <v>2362</v>
      </c>
      <c r="D5" s="3015">
        <f>200*0.8</f>
        <v>160</v>
      </c>
      <c r="E5" s="3015">
        <f>D5/365/C5*10000</f>
        <v>1.855868604502801</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2990</v>
      </c>
    </row>
    <row r="2" spans="1:45" s="707" customFormat="1" ht="38.25">
      <c r="A2" s="1206"/>
      <c r="B2" s="703" t="s">
        <v>2991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2" t="s">
        <v>3181</v>
      </c>
      <c r="C5" s="3000" t="s">
        <v>3182</v>
      </c>
      <c r="D5" s="3001" t="s">
        <v>3183</v>
      </c>
      <c r="E5" s="3001" t="s">
        <v>3184</v>
      </c>
      <c r="F5" s="1713"/>
      <c r="G5" s="1713"/>
      <c r="H5" s="1713"/>
      <c r="I5" s="1713"/>
      <c r="J5" s="1713"/>
      <c r="K5" s="1713"/>
      <c r="L5" s="1714"/>
      <c r="M5" s="1715"/>
      <c r="N5" s="1715"/>
      <c r="O5" s="1713"/>
      <c r="P5" s="1713"/>
      <c r="Q5" s="1713"/>
      <c r="R5" s="1713"/>
      <c r="S5" s="1716"/>
      <c r="T5" s="1220">
        <f>'比较法-办公'!K27</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3" t="s">
        <v>3185</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4"/>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3" t="s">
        <v>3186</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5431</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6014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9031</v>
      </c>
      <c r="C22" s="3151" t="s">
        <v>33</v>
      </c>
      <c r="D22" s="3152"/>
      <c r="E22" s="3152"/>
      <c r="F22" s="3152"/>
      <c r="G22" s="3152"/>
      <c r="H22" s="3152"/>
      <c r="I22" s="3152"/>
      <c r="J22" s="3152"/>
      <c r="K22" s="3152"/>
      <c r="L22" s="3152"/>
      <c r="M22" s="3152"/>
      <c r="N22" s="3152"/>
      <c r="O22" s="3152"/>
      <c r="P22" s="3152"/>
      <c r="Q22" s="3260"/>
      <c r="R22" s="715">
        <f ca="1">ROUND(S22*10000/B22,0)</f>
        <v>6014</v>
      </c>
      <c r="S22" s="24">
        <f ca="1">SUM(S24:S10000)</f>
        <v>5431</v>
      </c>
    </row>
    <row r="23" spans="1:45" s="12" customFormat="1" ht="25.5">
      <c r="A23" s="11" t="s">
        <v>3003</v>
      </c>
      <c r="B23" s="11" t="s">
        <v>3004</v>
      </c>
      <c r="C23" s="11" t="s">
        <v>3005</v>
      </c>
      <c r="D23" s="11" t="str">
        <f>B5</f>
        <v>楼层</v>
      </c>
      <c r="E23" s="11" t="s">
        <v>3005</v>
      </c>
      <c r="F23" s="11" t="str">
        <f>B7</f>
        <v>公共部分装修</v>
      </c>
      <c r="G23" s="11" t="s">
        <v>3005</v>
      </c>
      <c r="H23" s="11" t="str">
        <f>B9</f>
        <v>室内装修</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面积1!B8</f>
        <v>新疆维吾尔自治区乌鲁木齐市沙依巴克区长江路52号1栋17层办公用房房地产</v>
      </c>
      <c r="B24" s="717">
        <f>面积1!D8</f>
        <v>821</v>
      </c>
      <c r="C24" s="718">
        <v>1</v>
      </c>
      <c r="D24" s="719" t="s">
        <v>3145</v>
      </c>
      <c r="E24" s="718">
        <v>1</v>
      </c>
      <c r="F24" s="719" t="s">
        <v>3151</v>
      </c>
      <c r="G24" s="718">
        <v>1</v>
      </c>
      <c r="H24" s="719" t="str">
        <f>面积1!J8</f>
        <v>普通装修</v>
      </c>
      <c r="I24" s="718">
        <v>1</v>
      </c>
      <c r="J24" s="719"/>
      <c r="K24" s="718">
        <v>1</v>
      </c>
      <c r="L24" s="719"/>
      <c r="M24" s="718">
        <v>1</v>
      </c>
      <c r="N24" s="719"/>
      <c r="O24" s="718">
        <v>1</v>
      </c>
      <c r="P24" s="719"/>
      <c r="Q24" s="718">
        <v>1</v>
      </c>
      <c r="R24" s="720">
        <f ca="1">'结果表（办公）'!G20</f>
        <v>6108</v>
      </c>
      <c r="S24" s="718">
        <f t="shared" ref="S24:S54" ca="1" si="12">ROUND(R24*B24/10000,0)</f>
        <v>501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面积1!B9</f>
        <v>新疆维吾尔自治区乌鲁木齐市沙依巴克区长江路52号1栋18层办公用房房地产</v>
      </c>
      <c r="B25" s="717">
        <f>面积1!D9</f>
        <v>821</v>
      </c>
      <c r="C25" s="24">
        <f>IF(B25="",1,(LOOKUP(B25,$3:$3,$4:$4)-LOOKUP($B$24,$3:$3,$4:$4)+100)/100)</f>
        <v>1</v>
      </c>
      <c r="D25" s="719" t="s">
        <v>3145</v>
      </c>
      <c r="E25" s="24">
        <f>(SUMIF($5:$5,D25,$6:$6)-SUMIF($5:$5,$D$24,$6:$6)+100)/100</f>
        <v>1</v>
      </c>
      <c r="F25" s="719" t="s">
        <v>3151</v>
      </c>
      <c r="G25" s="24">
        <f>(SUMIF($7:$7,F25,$8:$8)-SUMIF($7:$7,$F$24,$8:$8)+100)/100</f>
        <v>1</v>
      </c>
      <c r="H25" s="719" t="s">
        <v>3151</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6108</v>
      </c>
      <c r="S25" s="361">
        <f t="shared" ca="1" si="12"/>
        <v>501</v>
      </c>
    </row>
    <row r="26" spans="1:45">
      <c r="A26" s="2965" t="str">
        <f>面积1!B10</f>
        <v>新疆维吾尔自治区乌鲁木齐市沙依巴克区长江路52号1栋19层办公用房房地产</v>
      </c>
      <c r="B26" s="717">
        <f>面积1!D10</f>
        <v>821</v>
      </c>
      <c r="C26" s="24">
        <f t="shared" ref="C26:C89" si="13">IF(B26="",1,(LOOKUP(B26,$3:$3,$4:$4)-LOOKUP($B$24,$3:$3,$4:$4)+100)/100)</f>
        <v>1</v>
      </c>
      <c r="D26" s="719" t="s">
        <v>3145</v>
      </c>
      <c r="E26" s="24">
        <f t="shared" ref="E26:E89" si="14">(SUMIF($5:$5,D26,$6:$6)-SUMIF($5:$5,$D$24,$6:$6)+100)/100</f>
        <v>1</v>
      </c>
      <c r="F26" s="719" t="s">
        <v>3151</v>
      </c>
      <c r="G26" s="24">
        <f t="shared" ref="G26:G89" si="15">(SUMIF($7:$7,F26,$8:$8)-SUMIF($7:$7,$F$24,$8:$8)+100)/100</f>
        <v>1</v>
      </c>
      <c r="H26" s="719" t="s">
        <v>3151</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6108</v>
      </c>
      <c r="S26" s="361">
        <f t="shared" ca="1" si="12"/>
        <v>501</v>
      </c>
    </row>
    <row r="27" spans="1:45">
      <c r="A27" s="2965" t="str">
        <f>面积1!B11</f>
        <v>新疆维吾尔自治区乌鲁木齐市沙依巴克区长江路52号1栋21层办公用房房地产</v>
      </c>
      <c r="B27" s="717">
        <f>面积1!D11</f>
        <v>821</v>
      </c>
      <c r="C27" s="24">
        <f t="shared" si="13"/>
        <v>1</v>
      </c>
      <c r="D27" s="719" t="s">
        <v>3143</v>
      </c>
      <c r="E27" s="24">
        <f t="shared" si="14"/>
        <v>1.02</v>
      </c>
      <c r="F27" s="719" t="s">
        <v>3151</v>
      </c>
      <c r="G27" s="24">
        <f t="shared" si="15"/>
        <v>1</v>
      </c>
      <c r="H27" s="719" t="s">
        <v>3151</v>
      </c>
      <c r="I27" s="24">
        <f t="shared" si="16"/>
        <v>1</v>
      </c>
      <c r="J27" s="719"/>
      <c r="K27" s="24">
        <f t="shared" si="17"/>
        <v>1</v>
      </c>
      <c r="L27" s="719"/>
      <c r="M27" s="24">
        <f t="shared" si="18"/>
        <v>1</v>
      </c>
      <c r="N27" s="719"/>
      <c r="O27" s="24">
        <f t="shared" si="19"/>
        <v>1</v>
      </c>
      <c r="P27" s="719"/>
      <c r="Q27" s="24">
        <f t="shared" si="20"/>
        <v>1</v>
      </c>
      <c r="R27" s="715">
        <f t="shared" ca="1" si="21"/>
        <v>6230</v>
      </c>
      <c r="S27" s="361">
        <f t="shared" ca="1" si="12"/>
        <v>511</v>
      </c>
    </row>
    <row r="28" spans="1:45">
      <c r="A28" s="2965" t="str">
        <f>面积1!B12</f>
        <v>新疆维吾尔自治区乌鲁木齐市沙依巴克区长江路52号1栋22层办公用房房地产</v>
      </c>
      <c r="B28" s="717">
        <f>面积1!D12</f>
        <v>821</v>
      </c>
      <c r="C28" s="24">
        <f t="shared" si="13"/>
        <v>1</v>
      </c>
      <c r="D28" s="719" t="s">
        <v>3143</v>
      </c>
      <c r="E28" s="24">
        <f t="shared" si="14"/>
        <v>1.02</v>
      </c>
      <c r="F28" s="719" t="s">
        <v>3151</v>
      </c>
      <c r="G28" s="24">
        <f t="shared" si="15"/>
        <v>1</v>
      </c>
      <c r="H28" s="719" t="s">
        <v>3151</v>
      </c>
      <c r="I28" s="24">
        <f t="shared" si="16"/>
        <v>1</v>
      </c>
      <c r="J28" s="719"/>
      <c r="K28" s="24">
        <f t="shared" si="17"/>
        <v>1</v>
      </c>
      <c r="L28" s="719"/>
      <c r="M28" s="24">
        <f t="shared" si="18"/>
        <v>1</v>
      </c>
      <c r="N28" s="719"/>
      <c r="O28" s="24">
        <f t="shared" si="19"/>
        <v>1</v>
      </c>
      <c r="P28" s="719"/>
      <c r="Q28" s="24">
        <f t="shared" si="20"/>
        <v>1</v>
      </c>
      <c r="R28" s="715">
        <f t="shared" ca="1" si="21"/>
        <v>6230</v>
      </c>
      <c r="S28" s="361">
        <f t="shared" ca="1" si="12"/>
        <v>511</v>
      </c>
    </row>
    <row r="29" spans="1:45">
      <c r="A29" s="2965" t="str">
        <f>面积1!B13</f>
        <v>新疆维吾尔自治区乌鲁木齐市沙依巴克区长江路52号1栋23层办公用房房地产</v>
      </c>
      <c r="B29" s="717">
        <f>面积1!D13</f>
        <v>821</v>
      </c>
      <c r="C29" s="24">
        <f t="shared" si="13"/>
        <v>1</v>
      </c>
      <c r="D29" s="719" t="s">
        <v>3143</v>
      </c>
      <c r="E29" s="24">
        <f t="shared" si="14"/>
        <v>1.02</v>
      </c>
      <c r="F29" s="719" t="s">
        <v>3151</v>
      </c>
      <c r="G29" s="24">
        <f t="shared" si="15"/>
        <v>1</v>
      </c>
      <c r="H29" s="719" t="s">
        <v>3154</v>
      </c>
      <c r="I29" s="24">
        <f t="shared" si="16"/>
        <v>0.96</v>
      </c>
      <c r="J29" s="719"/>
      <c r="K29" s="24">
        <f t="shared" si="17"/>
        <v>1</v>
      </c>
      <c r="L29" s="719"/>
      <c r="M29" s="24">
        <f t="shared" si="18"/>
        <v>1</v>
      </c>
      <c r="N29" s="719"/>
      <c r="O29" s="24">
        <f t="shared" si="19"/>
        <v>1</v>
      </c>
      <c r="P29" s="719"/>
      <c r="Q29" s="24">
        <f t="shared" si="20"/>
        <v>1</v>
      </c>
      <c r="R29" s="715">
        <f t="shared" ca="1" si="21"/>
        <v>5981</v>
      </c>
      <c r="S29" s="361">
        <f t="shared" ca="1" si="12"/>
        <v>491</v>
      </c>
    </row>
    <row r="30" spans="1:45">
      <c r="A30" s="2965" t="str">
        <f>面积1!B14</f>
        <v>新疆维吾尔自治区乌鲁木齐市沙依巴克区长江路52号1栋24层办公用房房地产</v>
      </c>
      <c r="B30" s="717">
        <f>面积1!D14</f>
        <v>821</v>
      </c>
      <c r="C30" s="24">
        <f t="shared" si="13"/>
        <v>1</v>
      </c>
      <c r="D30" s="719" t="s">
        <v>3143</v>
      </c>
      <c r="E30" s="24">
        <f t="shared" si="14"/>
        <v>1.02</v>
      </c>
      <c r="F30" s="719" t="s">
        <v>3151</v>
      </c>
      <c r="G30" s="24">
        <f t="shared" si="15"/>
        <v>1</v>
      </c>
      <c r="H30" s="719" t="s">
        <v>3154</v>
      </c>
      <c r="I30" s="24">
        <f t="shared" si="16"/>
        <v>0.96</v>
      </c>
      <c r="J30" s="719"/>
      <c r="K30" s="24">
        <f t="shared" si="17"/>
        <v>1</v>
      </c>
      <c r="L30" s="719"/>
      <c r="M30" s="24">
        <f t="shared" si="18"/>
        <v>1</v>
      </c>
      <c r="N30" s="719"/>
      <c r="O30" s="24">
        <f t="shared" si="19"/>
        <v>1</v>
      </c>
      <c r="P30" s="719"/>
      <c r="Q30" s="24">
        <f t="shared" si="20"/>
        <v>1</v>
      </c>
      <c r="R30" s="715">
        <f t="shared" ca="1" si="21"/>
        <v>5981</v>
      </c>
      <c r="S30" s="361">
        <f t="shared" ca="1" si="12"/>
        <v>491</v>
      </c>
    </row>
    <row r="31" spans="1:45">
      <c r="A31" s="2965" t="str">
        <f>面积1!B15</f>
        <v>新疆维吾尔自治区乌鲁木齐市沙依巴克区长江路52号1栋25层办公用房房地产</v>
      </c>
      <c r="B31" s="717">
        <f>面积1!D15</f>
        <v>821</v>
      </c>
      <c r="C31" s="24">
        <f t="shared" si="13"/>
        <v>1</v>
      </c>
      <c r="D31" s="719" t="s">
        <v>3143</v>
      </c>
      <c r="E31" s="24">
        <f t="shared" si="14"/>
        <v>1.02</v>
      </c>
      <c r="F31" s="719" t="s">
        <v>3151</v>
      </c>
      <c r="G31" s="24">
        <f t="shared" si="15"/>
        <v>1</v>
      </c>
      <c r="H31" s="719" t="s">
        <v>3154</v>
      </c>
      <c r="I31" s="24">
        <f t="shared" si="16"/>
        <v>0.96</v>
      </c>
      <c r="J31" s="719"/>
      <c r="K31" s="24">
        <f t="shared" si="17"/>
        <v>1</v>
      </c>
      <c r="L31" s="719"/>
      <c r="M31" s="24">
        <f t="shared" si="18"/>
        <v>1</v>
      </c>
      <c r="N31" s="719"/>
      <c r="O31" s="24">
        <f t="shared" si="19"/>
        <v>1</v>
      </c>
      <c r="P31" s="719"/>
      <c r="Q31" s="24">
        <f t="shared" si="20"/>
        <v>1</v>
      </c>
      <c r="R31" s="715">
        <f t="shared" ca="1" si="21"/>
        <v>5981</v>
      </c>
      <c r="S31" s="361">
        <f t="shared" ca="1" si="12"/>
        <v>491</v>
      </c>
    </row>
    <row r="32" spans="1:45">
      <c r="A32" s="2965" t="str">
        <f>面积1!B16</f>
        <v>新疆维吾尔自治区乌鲁木齐市沙依巴克区长江路52号1栋26层办公用房房地产</v>
      </c>
      <c r="B32" s="717">
        <f>面积1!D16</f>
        <v>821</v>
      </c>
      <c r="C32" s="24">
        <f t="shared" si="13"/>
        <v>1</v>
      </c>
      <c r="D32" s="719" t="s">
        <v>3143</v>
      </c>
      <c r="E32" s="24">
        <f t="shared" si="14"/>
        <v>1.02</v>
      </c>
      <c r="F32" s="719" t="s">
        <v>3151</v>
      </c>
      <c r="G32" s="24">
        <f t="shared" si="15"/>
        <v>1</v>
      </c>
      <c r="H32" s="719" t="s">
        <v>3154</v>
      </c>
      <c r="I32" s="24">
        <f t="shared" si="16"/>
        <v>0.96</v>
      </c>
      <c r="J32" s="719"/>
      <c r="K32" s="24">
        <f t="shared" si="17"/>
        <v>1</v>
      </c>
      <c r="L32" s="719"/>
      <c r="M32" s="24">
        <f t="shared" si="18"/>
        <v>1</v>
      </c>
      <c r="N32" s="719"/>
      <c r="O32" s="24">
        <f t="shared" si="19"/>
        <v>1</v>
      </c>
      <c r="P32" s="719"/>
      <c r="Q32" s="24">
        <f t="shared" si="20"/>
        <v>1</v>
      </c>
      <c r="R32" s="715">
        <f t="shared" ca="1" si="21"/>
        <v>5981</v>
      </c>
      <c r="S32" s="361">
        <f t="shared" ca="1" si="12"/>
        <v>491</v>
      </c>
    </row>
    <row r="33" spans="1:19">
      <c r="A33" s="2965" t="str">
        <f>面积1!B17</f>
        <v>新疆维吾尔自治区乌鲁木齐市沙依巴克区长江路52号1栋27层办公用房房地产</v>
      </c>
      <c r="B33" s="717">
        <f>面积1!D17</f>
        <v>821</v>
      </c>
      <c r="C33" s="24">
        <f t="shared" si="13"/>
        <v>1</v>
      </c>
      <c r="D33" s="719" t="s">
        <v>3143</v>
      </c>
      <c r="E33" s="24">
        <f t="shared" si="14"/>
        <v>1.02</v>
      </c>
      <c r="F33" s="719" t="s">
        <v>3154</v>
      </c>
      <c r="G33" s="24">
        <f t="shared" si="15"/>
        <v>0.96</v>
      </c>
      <c r="H33" s="719" t="s">
        <v>3154</v>
      </c>
      <c r="I33" s="24">
        <f t="shared" si="16"/>
        <v>0.96</v>
      </c>
      <c r="J33" s="719"/>
      <c r="K33" s="24">
        <f t="shared" si="17"/>
        <v>1</v>
      </c>
      <c r="L33" s="719"/>
      <c r="M33" s="24">
        <f t="shared" si="18"/>
        <v>1</v>
      </c>
      <c r="N33" s="719"/>
      <c r="O33" s="24">
        <f t="shared" si="19"/>
        <v>1</v>
      </c>
      <c r="P33" s="719"/>
      <c r="Q33" s="24">
        <f t="shared" si="20"/>
        <v>1</v>
      </c>
      <c r="R33" s="715">
        <f t="shared" ca="1" si="21"/>
        <v>5742</v>
      </c>
      <c r="S33" s="361">
        <f t="shared" ca="1" si="12"/>
        <v>471</v>
      </c>
    </row>
    <row r="34" spans="1:19">
      <c r="A34" s="2965" t="str">
        <f>面积1!B18</f>
        <v>新疆维吾尔自治区乌鲁木齐市沙依巴克区长江路52号1栋28层办公用房房地产</v>
      </c>
      <c r="B34" s="717">
        <f>面积1!D18</f>
        <v>821</v>
      </c>
      <c r="C34" s="24">
        <f t="shared" si="13"/>
        <v>1</v>
      </c>
      <c r="D34" s="719" t="s">
        <v>3143</v>
      </c>
      <c r="E34" s="24">
        <f t="shared" si="14"/>
        <v>1.02</v>
      </c>
      <c r="F34" s="719" t="s">
        <v>3154</v>
      </c>
      <c r="G34" s="24">
        <f t="shared" si="15"/>
        <v>0.96</v>
      </c>
      <c r="H34" s="719" t="s">
        <v>3154</v>
      </c>
      <c r="I34" s="24">
        <f t="shared" si="16"/>
        <v>0.96</v>
      </c>
      <c r="J34" s="719"/>
      <c r="K34" s="24">
        <f t="shared" si="17"/>
        <v>1</v>
      </c>
      <c r="L34" s="719"/>
      <c r="M34" s="24">
        <f t="shared" si="18"/>
        <v>1</v>
      </c>
      <c r="N34" s="719"/>
      <c r="O34" s="24">
        <f t="shared" si="19"/>
        <v>1</v>
      </c>
      <c r="P34" s="719"/>
      <c r="Q34" s="24">
        <f t="shared" si="20"/>
        <v>1</v>
      </c>
      <c r="R34" s="715">
        <f t="shared" ca="1" si="21"/>
        <v>5742</v>
      </c>
      <c r="S34" s="361">
        <f t="shared" ca="1" si="12"/>
        <v>471</v>
      </c>
    </row>
    <row r="35" spans="1:19">
      <c r="A35" s="2965"/>
      <c r="B35" s="59"/>
      <c r="C35" s="24">
        <f t="shared" si="13"/>
        <v>1</v>
      </c>
      <c r="D35" s="719"/>
      <c r="E35" s="24">
        <f t="shared" si="14"/>
        <v>0.02</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19">
      <c r="A36" s="2965"/>
      <c r="B36" s="59"/>
      <c r="C36" s="24">
        <f t="shared" si="13"/>
        <v>1</v>
      </c>
      <c r="D36" s="719"/>
      <c r="E36" s="24">
        <f t="shared" si="14"/>
        <v>0.02</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row>
    <row r="37" spans="1:19">
      <c r="A37" s="2965"/>
      <c r="B37" s="59"/>
      <c r="C37" s="24">
        <f t="shared" si="13"/>
        <v>1</v>
      </c>
      <c r="D37" s="719"/>
      <c r="E37" s="24">
        <f t="shared" si="14"/>
        <v>0.02</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19">
      <c r="A38" s="2965"/>
      <c r="B38" s="59"/>
      <c r="C38" s="24">
        <f t="shared" si="13"/>
        <v>1</v>
      </c>
      <c r="D38" s="719"/>
      <c r="E38" s="24">
        <f t="shared" si="14"/>
        <v>0.02</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19">
      <c r="A39" s="2965"/>
      <c r="B39" s="59"/>
      <c r="C39" s="24">
        <f t="shared" si="13"/>
        <v>1</v>
      </c>
      <c r="D39" s="719"/>
      <c r="E39" s="24">
        <f t="shared" si="14"/>
        <v>0.02</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19">
      <c r="A40" s="2965"/>
      <c r="B40" s="59"/>
      <c r="C40" s="24">
        <f t="shared" si="13"/>
        <v>1</v>
      </c>
      <c r="D40" s="719"/>
      <c r="E40" s="24">
        <f t="shared" si="14"/>
        <v>0.02</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19">
      <c r="A41" s="2965"/>
      <c r="B41" s="59"/>
      <c r="C41" s="24">
        <f t="shared" si="13"/>
        <v>1</v>
      </c>
      <c r="D41" s="719"/>
      <c r="E41" s="24">
        <f t="shared" si="14"/>
        <v>0.02</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19">
      <c r="A42" s="2965"/>
      <c r="B42" s="59"/>
      <c r="C42" s="24">
        <f t="shared" si="13"/>
        <v>1</v>
      </c>
      <c r="D42" s="719"/>
      <c r="E42" s="24">
        <f t="shared" si="14"/>
        <v>0.02</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19">
      <c r="A43" s="2965"/>
      <c r="B43" s="59"/>
      <c r="C43" s="24">
        <f t="shared" si="13"/>
        <v>1</v>
      </c>
      <c r="D43" s="719"/>
      <c r="E43" s="24">
        <f t="shared" si="14"/>
        <v>0.02</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19">
      <c r="A44" s="2965"/>
      <c r="B44" s="59"/>
      <c r="C44" s="24">
        <f t="shared" si="13"/>
        <v>1</v>
      </c>
      <c r="D44" s="719"/>
      <c r="E44" s="24">
        <f t="shared" si="14"/>
        <v>0.02</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19">
      <c r="A45" s="159"/>
      <c r="B45" s="59"/>
      <c r="C45" s="24">
        <f t="shared" si="13"/>
        <v>1</v>
      </c>
      <c r="D45" s="719"/>
      <c r="E45" s="24">
        <f t="shared" si="14"/>
        <v>0.02</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19">
      <c r="A46" s="159"/>
      <c r="B46" s="59"/>
      <c r="C46" s="24">
        <f t="shared" si="13"/>
        <v>1</v>
      </c>
      <c r="D46" s="719"/>
      <c r="E46" s="24">
        <f t="shared" si="14"/>
        <v>0.02</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19">
      <c r="A47" s="159"/>
      <c r="B47" s="59"/>
      <c r="C47" s="24">
        <f t="shared" si="13"/>
        <v>1</v>
      </c>
      <c r="D47" s="719"/>
      <c r="E47" s="24">
        <f t="shared" si="14"/>
        <v>0.02</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19">
      <c r="A48" s="159"/>
      <c r="B48" s="59"/>
      <c r="C48" s="24">
        <f t="shared" si="13"/>
        <v>1</v>
      </c>
      <c r="D48" s="719"/>
      <c r="E48" s="24">
        <f t="shared" si="14"/>
        <v>0.02</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0.02</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0.02</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0.02</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0.02</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0.02</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0.02</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0.02</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0.02</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0.02</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0.02</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0.02</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0.02</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0.02</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0.02</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0.02</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0.02</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0.02</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0.02</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0.02</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0.02</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0.02</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0.02</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0.02</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0.02</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0.02</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0.02</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0.02</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0.02</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0.02</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0.02</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0.02</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0.02</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0.02</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0.02</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0.02</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0.02</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0.02</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0.02</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0.02</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0.02</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0.02</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0.02</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0.02</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0.02</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0.02</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0.02</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0.02</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0.02</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0.02</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0.02</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0.02</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0.02</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0.02</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0.02</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0.02</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0.02</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0.02</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0.02</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0.02</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0.02</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0.02</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0.02</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0.02</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0.02</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0.02</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0.02</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0.02</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0.02</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0.02</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0.02</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0.02</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0.02</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0.02</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0.02</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0.02</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0.02</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0.02</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0.02</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0.02</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0.02</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0.02</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0.02</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0.02</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0.02</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0.02</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0.02</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0.02</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0.02</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0.02</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0.02</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0.02</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0.02</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0.02</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0.02</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0.02</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0.02</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0.02</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0.02</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0.02</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0.02</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0.02</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0.02</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0.02</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0.02</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0.02</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0.02</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0.02</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0.02</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0.02</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0.02</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0.02</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0.02</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0.02</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0.02</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0.02</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0.02</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0.02</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0.02</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0.02</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0.02</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0.02</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0.02</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0.02</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0.02</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0.02</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0.02</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0.02</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0.02</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0.02</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0.02</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0.02</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0.02</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0.02</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0.02</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0.02</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0.02</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0.02</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0.02</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0.02</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0.02</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0.02</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0.02</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0.02</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0.02</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0.02</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0.02</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0.02</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0.02</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0.02</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0.02</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0.02</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0.02</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0.02</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0.02</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0.02</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0.02</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0.02</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0.02</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0.02</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0.02</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0.02</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0.02</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0.02</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0.02</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0.02</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0.02</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0.02</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0.02</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0.02</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0.02</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0.02</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0.02</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0.02</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0.02</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0.02</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0.02</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0.02</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0.02</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0.02</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0.02</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0.02</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0.02</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0.02</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0.02</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0.02</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0.02</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0.02</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0.02</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0.02</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0.02</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0.02</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0.02</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0.02</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0.02</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0.02</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0.02</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0.02</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0.02</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0.02</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0.02</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0.02</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0.02</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0.02</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0.02</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0.02</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0.02</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0.02</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0.02</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0.02</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0.02</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0.02</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0.02</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0.02</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0.02</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0.02</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0.02</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0.02</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0.02</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0.02</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0.02</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0.02</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0.02</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0.02</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0.02</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0.02</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0.02</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0.02</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0.02</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0.02</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0.02</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0.02</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0.02</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0.02</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0.02</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0.02</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0.02</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0.02</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0.02</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0.02</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0.02</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0.02</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0.02</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0.02</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0.02</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0.02</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0.02</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0.02</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0.02</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0.02</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0.02</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0.02</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0.02</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0.02</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0.02</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0.02</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0.02</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0.02</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0.02</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0.02</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0.02</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0.02</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0.02</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0.02</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0.02</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0.02</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0.02</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0.02</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0.02</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0.02</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0.02</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0.02</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0.02</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0.02</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0.02</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0.02</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0.02</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0.02</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0.02</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0.02</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0.02</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0.02</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0.02</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0.02</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0.02</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0.02</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0.02</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0.02</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0.02</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0.02</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0.02</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0.02</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0.02</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0.02</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0.02</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0.02</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0.02</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0.02</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0.02</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0.02</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0.02</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0.02</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0.02</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0.02</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0.02</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0.02</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0.02</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0.02</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0.02</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0.02</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0.02</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0.02</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0.02</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0.02</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0.02</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0.02</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0.02</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0.02</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0.02</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0.02</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0.02</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0.02</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0.02</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0.02</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0.02</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0.02</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0.02</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0.02</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0.02</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0.02</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0.02</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0.02</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0.02</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0.02</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0.02</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0.02</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0.02</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0.02</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0.02</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0.02</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0.02</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0.02</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0.02</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0.02</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0.02</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0.02</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0.02</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0.02</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0.02</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0.02</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0.02</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0.02</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0.02</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0.02</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0.02</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0.02</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0.02</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0.02</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0.02</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0.02</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0.02</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0.02</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0.02</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0.02</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0.02</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0.02</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0.02</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0.02</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0.02</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0.02</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0.02</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0.02</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0.02</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0.02</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0.02</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0.02</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0.02</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0.02</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0.02</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0.02</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0.02</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0.02</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0.02</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0.02</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0.02</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0.02</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0.02</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0.02</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0.02</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0.02</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0.02</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0.02</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0.02</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0.02</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0.02</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0.02</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0.02</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0.02</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0.02</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0.02</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0.02</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0.02</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0.02</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0.02</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0.02</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0.02</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0.02</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0.02</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0.02</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0.02</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0.02</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0.02</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0.02</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0.02</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0.02</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0.02</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0.02</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0.02</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0.02</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0.02</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0.02</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0.02</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0.02</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0.02</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0.02</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0.02</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0.02</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0.02</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0.02</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0.02</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0.02</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0.02</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0.02</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0.02</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0.02</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0.02</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0.02</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0.02</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0.02</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0.02</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0.02</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0.02</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0.02</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0.02</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0.02</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0.02</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0.02</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0.02</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0.02</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0.02</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0.02</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0.02</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0.02</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0.02</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0.02</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0.02</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0.02</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0.02</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0.02</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0.02</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0.02</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0.02</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0.02</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0.02</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0.02</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0.02</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0.02</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0.02</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0.02</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0.02</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0.02</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0.02</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0.02</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0.02</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0.02</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0.02</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0.02</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0" sqref="E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3119</v>
      </c>
      <c r="D1" s="2413"/>
      <c r="E1" s="2413"/>
      <c r="F1" s="2415" t="s">
        <v>2099</v>
      </c>
      <c r="G1" s="2070" t="s">
        <v>3109</v>
      </c>
      <c r="H1" s="2416" t="str">
        <f>IF(G1="现房","——","估价对象范围")</f>
        <v>——</v>
      </c>
      <c r="I1" s="2417" t="s">
        <v>3128</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3127</v>
      </c>
      <c r="D4" s="2422" t="s">
        <v>3120</v>
      </c>
      <c r="E4" s="3118" t="s">
        <v>2103</v>
      </c>
      <c r="F4" s="3119"/>
      <c r="G4" s="3119"/>
      <c r="H4" s="3119"/>
      <c r="I4" s="3120"/>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110">
        <v>5</v>
      </c>
      <c r="D14" s="3112">
        <v>5</v>
      </c>
      <c r="E14" s="140" t="s">
        <v>2118</v>
      </c>
      <c r="F14" s="2424"/>
      <c r="G14" s="2424"/>
      <c r="H14" s="2424"/>
      <c r="I14" s="1833"/>
    </row>
    <row r="15" spans="1:12" ht="12.75">
      <c r="A15" s="3109"/>
      <c r="B15" s="3060"/>
      <c r="C15" s="3121"/>
      <c r="D15" s="3112"/>
      <c r="E15" s="140" t="s">
        <v>2119</v>
      </c>
      <c r="F15" s="2424"/>
      <c r="G15" s="2424"/>
      <c r="H15" s="2424"/>
      <c r="I15" s="1833"/>
    </row>
    <row r="16" spans="1:12" ht="12.75">
      <c r="A16" s="3109"/>
      <c r="B16" s="3060"/>
      <c r="C16" s="3111"/>
      <c r="D16" s="3112"/>
      <c r="E16" s="140" t="s">
        <v>2120</v>
      </c>
      <c r="F16" s="2424"/>
      <c r="G16" s="2424"/>
      <c r="H16" s="2424"/>
      <c r="I16" s="1833"/>
    </row>
    <row r="17" spans="1:35" ht="15">
      <c r="A17" s="2425" t="s">
        <v>2121</v>
      </c>
      <c r="B17" s="64"/>
      <c r="C17" s="141">
        <f>SUM(C5:C16)</f>
        <v>5</v>
      </c>
      <c r="D17" s="141">
        <f>SUM(D5:D16)</f>
        <v>5</v>
      </c>
      <c r="E17" s="138"/>
      <c r="F17" s="138"/>
      <c r="G17" s="138"/>
      <c r="H17" s="138"/>
      <c r="I17" s="138"/>
      <c r="K17" s="2423"/>
      <c r="L17" s="2426" t="s">
        <v>2122</v>
      </c>
      <c r="M17" s="2426" t="s">
        <v>2123</v>
      </c>
    </row>
    <row r="18" spans="1:35" ht="15.75" thickBot="1">
      <c r="A18" s="2427" t="s">
        <v>2124</v>
      </c>
      <c r="B18" s="2428"/>
      <c r="C18" s="142">
        <f>ROUND(C17/SUM(C17:D17),2)</f>
        <v>0.5</v>
      </c>
      <c r="D18" s="142">
        <f>1-C18</f>
        <v>0.5</v>
      </c>
      <c r="E18" s="138"/>
      <c r="F18" s="138"/>
      <c r="G18" s="138"/>
      <c r="H18" s="138"/>
      <c r="I18" s="138"/>
      <c r="K18" s="2423" t="s">
        <v>2125</v>
      </c>
      <c r="L18" s="2423">
        <f>IF(C1="",'数据-汇总表'!E3,SUMIF(项目类型,C1,'数据-汇总表'!E17:E26)+SUMIF(项目类型,C1,'数据-汇总表'!I17:I26))</f>
        <v>0</v>
      </c>
      <c r="M18" s="2423">
        <f>IF(C1="",'数据-汇总表'!E3,SUMIF(项目类型,C1,'数据-汇总表'!E17:E26))</f>
        <v>0</v>
      </c>
    </row>
    <row r="19" spans="1:35" ht="15">
      <c r="A19" s="2429" t="s">
        <v>2126</v>
      </c>
      <c r="B19" s="2430" t="s">
        <v>2127</v>
      </c>
      <c r="C19" s="143">
        <f ca="1">SUMIF(INDIRECT("'"&amp;C4&amp;"'"&amp;"!A:A"),'结果表（商业）'!B19,INDIRECT("'"&amp;C4&amp;"'"&amp;"!B:B"))</f>
        <v>0</v>
      </c>
      <c r="D19" s="144" t="e">
        <f ca="1">SUMIF(INDIRECT("'"&amp;D4&amp;"'"&amp;"!A:A"),'结果表（商业）'!B19,INDIRECT("'"&amp;D4&amp;"'"&amp;"!B:B"))</f>
        <v>#N/A</v>
      </c>
      <c r="E19" s="2429" t="s">
        <v>2128</v>
      </c>
      <c r="F19" s="2430" t="s">
        <v>2127</v>
      </c>
      <c r="G19" s="145" t="e">
        <f ca="1">ROUND(C19*$C$18+D19*$D$18,0)</f>
        <v>#N/A</v>
      </c>
      <c r="H19" s="2431" t="s">
        <v>2129</v>
      </c>
      <c r="I19" s="138"/>
      <c r="K19" s="2423" t="s">
        <v>2130</v>
      </c>
      <c r="L19" s="2423">
        <f>IF(C1="",'数据-汇总表'!D3,SUMIF(项目类型,C1,'数据-汇总表'!D17:D26)+SUMIF(项目类型,C1,'数据-汇总表'!H17:H27))</f>
        <v>0</v>
      </c>
      <c r="M19" s="2423">
        <f>IF(C1="",'数据-汇总表'!D3,SUMIF(项目类型,C1,'数据-汇总表'!D17:D26))</f>
        <v>0</v>
      </c>
    </row>
    <row r="20" spans="1:35" ht="15">
      <c r="A20" s="2432"/>
      <c r="B20" s="1248" t="s">
        <v>2131</v>
      </c>
      <c r="C20" s="146">
        <f ca="1">SUMIF(INDIRECT("'"&amp;C4&amp;"'"&amp;"!A:A"),'结果表（商业）'!B20,INDIRECT("'"&amp;C4&amp;"'"&amp;"!B:B"))</f>
        <v>41809</v>
      </c>
      <c r="D20" s="147">
        <f ca="1">SUMIF(INDIRECT("'"&amp;D4&amp;"'"&amp;"!A:A"),'结果表（商业）'!B20,INDIRECT("'"&amp;D4&amp;"'"&amp;"!B:B"))</f>
        <v>0</v>
      </c>
      <c r="E20" s="2432"/>
      <c r="F20" s="1248" t="s">
        <v>2131</v>
      </c>
      <c r="G20" s="148">
        <f ca="1">ROUND(C20*$C$18+D20*$D$18,0)</f>
        <v>20905</v>
      </c>
      <c r="H20" s="981" t="s">
        <v>2132</v>
      </c>
      <c r="I20" s="138"/>
    </row>
    <row r="21" spans="1:35" ht="15" customHeight="1" thickBot="1">
      <c r="A21" s="1001"/>
      <c r="B21" s="2433" t="s">
        <v>2133</v>
      </c>
      <c r="C21" s="788" t="e">
        <f ca="1">ROUND(C19*10000/L19,0)</f>
        <v>#DIV/0!</v>
      </c>
      <c r="D21" s="789" t="e">
        <f ca="1">ROUND(D19*10000/L19,0)</f>
        <v>#N/A</v>
      </c>
      <c r="E21" s="1001"/>
      <c r="F21" s="2433" t="s">
        <v>2133</v>
      </c>
      <c r="G21" s="149" t="e">
        <f ca="1">ROUND(G19*10000/L19,0)</f>
        <v>#N/A</v>
      </c>
      <c r="H21" s="2434" t="s">
        <v>2132</v>
      </c>
      <c r="I21" s="138"/>
    </row>
    <row r="22" spans="1:35" ht="15" thickBot="1">
      <c r="A22" s="2277" t="s">
        <v>2134</v>
      </c>
      <c r="B22" s="2435"/>
      <c r="C22" s="2436"/>
      <c r="D22" s="790" t="e">
        <f ca="1">IF(C19&lt;D19,D19/C19-1,C19/D19-1)</f>
        <v>#N/A</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t="e">
        <f ca="1">IF(D32="总价",G19-C24,G20-C25)</f>
        <v>#N/A</v>
      </c>
      <c r="D32" s="2444" t="s">
        <v>2142</v>
      </c>
      <c r="E32" s="138"/>
      <c r="F32" s="138"/>
      <c r="G32" s="138"/>
      <c r="H32" s="138"/>
      <c r="I32" s="138"/>
    </row>
    <row r="33" spans="1:15" ht="15">
      <c r="A33" s="958" t="s">
        <v>2143</v>
      </c>
      <c r="B33" s="2445"/>
      <c r="C33" s="2446"/>
      <c r="D33" s="2447"/>
      <c r="E33" s="2448" t="s">
        <v>2144</v>
      </c>
      <c r="F33" s="2449" t="str">
        <f>IF(D32="楼面单价","取值（单价）","取值（总价）")</f>
        <v>取值（总价）</v>
      </c>
      <c r="G33" s="138"/>
      <c r="H33" s="138"/>
      <c r="I33" s="138"/>
    </row>
    <row r="34" spans="1:15" ht="15">
      <c r="A34" s="2450"/>
      <c r="B34" s="2451" t="s">
        <v>2145</v>
      </c>
      <c r="C34" s="157" t="e">
        <f ca="1">IF(C33="自定义",F34,C32-C35)</f>
        <v>#N/A</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#N/A</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2155</v>
      </c>
      <c r="C39" s="2463" t="s">
        <v>2156</v>
      </c>
      <c r="D39" s="2463" t="s">
        <v>2157</v>
      </c>
      <c r="E39" s="2464" t="s">
        <v>2158</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t="e">
        <f ca="1">ROUND(H101*F45,0)</f>
        <v>#N/A</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1811">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1811">
        <v>2</v>
      </c>
      <c r="K47" s="3130" t="s">
        <v>2174</v>
      </c>
      <c r="L47" s="3130"/>
      <c r="M47" s="3139">
        <f>'数据-取费表'!B2</f>
        <v>43069</v>
      </c>
      <c r="N47" s="3139"/>
      <c r="O47" s="3139"/>
    </row>
    <row r="48" spans="1:15" ht="25.5">
      <c r="A48" s="3140" t="s">
        <v>2175</v>
      </c>
      <c r="B48" s="3141"/>
      <c r="C48" s="3141"/>
      <c r="D48" s="140">
        <f>IF(H48="情况1",0,IF(H48="情况2",D52,IF(H48="情况3",D53,IF(H48="情况4",D54))))</f>
        <v>0</v>
      </c>
      <c r="E48" s="1800" t="str">
        <f>IF(H48="情况4","(销售额-原购置价)×税（费）率","销售额×税（费）率")</f>
        <v>销售额×税（费）率</v>
      </c>
      <c r="F48" s="175" t="str">
        <f>IF(H48="情况1","免征",'数据-取费表'!B41)</f>
        <v>免征</v>
      </c>
      <c r="G48" s="2476" t="s">
        <v>2176</v>
      </c>
      <c r="H48" s="2477" t="s">
        <v>2177</v>
      </c>
      <c r="I48" s="2475"/>
      <c r="J48" s="1811">
        <v>3</v>
      </c>
      <c r="K48" s="3130" t="s">
        <v>2178</v>
      </c>
      <c r="L48" s="3130"/>
      <c r="M48" s="3142" t="e">
        <f ca="1">H101</f>
        <v>#N/A</v>
      </c>
      <c r="N48" s="3142"/>
      <c r="O48" s="3142"/>
    </row>
    <row r="49" spans="1:35" ht="25.5" customHeight="1">
      <c r="A49" s="176" t="s">
        <v>2179</v>
      </c>
      <c r="B49" s="3143" t="s">
        <v>2180</v>
      </c>
      <c r="C49" s="3143"/>
      <c r="D49" s="177">
        <v>0</v>
      </c>
      <c r="E49" s="23" t="s">
        <v>2181</v>
      </c>
      <c r="F49" s="28" t="s">
        <v>34</v>
      </c>
      <c r="G49" s="3144"/>
      <c r="H49" s="138"/>
      <c r="I49" s="2478"/>
      <c r="J49" s="1811">
        <v>4</v>
      </c>
      <c r="K49" s="3130" t="str">
        <f>IF(项目基本情况!E8="房地产抵押价值","房地产抵押价值","抵押担保权已注销时的房地产抵押价值")</f>
        <v>抵押担保权已注销时的房地产抵押价值</v>
      </c>
      <c r="L49" s="3130"/>
      <c r="M49" s="3142" t="str">
        <f>IF(项目基本情况!E8="房地产抵押价值",H107,H109)</f>
        <v>——</v>
      </c>
      <c r="N49" s="3142"/>
      <c r="O49" s="3142"/>
    </row>
    <row r="50" spans="1:35" ht="25.5" customHeight="1">
      <c r="A50" s="178"/>
      <c r="B50" s="3143" t="s">
        <v>2182</v>
      </c>
      <c r="C50" s="3143"/>
      <c r="D50" s="179"/>
      <c r="E50" s="31"/>
      <c r="F50" s="180"/>
      <c r="G50" s="3145"/>
      <c r="H50" s="138"/>
      <c r="I50" s="2478"/>
      <c r="J50" s="3130" t="s">
        <v>2183</v>
      </c>
      <c r="K50" s="3130"/>
      <c r="L50" s="3130"/>
      <c r="M50" s="3130"/>
      <c r="N50" s="3130"/>
      <c r="O50" s="3130"/>
    </row>
    <row r="51" spans="1:35" ht="12" customHeight="1">
      <c r="A51" s="181"/>
      <c r="B51" s="3143" t="s">
        <v>2184</v>
      </c>
      <c r="C51" s="3143"/>
      <c r="D51" s="182"/>
      <c r="E51" s="30"/>
      <c r="F51" s="180"/>
      <c r="G51" s="3146"/>
      <c r="H51" s="138"/>
      <c r="I51" s="2478"/>
      <c r="J51" s="2479" t="s">
        <v>2185</v>
      </c>
      <c r="K51" s="3130" t="s">
        <v>2186</v>
      </c>
      <c r="L51" s="3130"/>
      <c r="M51" s="2479" t="s">
        <v>2187</v>
      </c>
      <c r="N51" s="2479" t="s">
        <v>2188</v>
      </c>
      <c r="O51" s="2479" t="s">
        <v>2189</v>
      </c>
    </row>
    <row r="52" spans="1:35" ht="24" customHeight="1">
      <c r="A52" s="183" t="s">
        <v>2190</v>
      </c>
      <c r="B52" s="3143" t="s">
        <v>2191</v>
      </c>
      <c r="C52" s="3143"/>
      <c r="D52" s="182" t="e">
        <f ca="1">ROUND(D45*'数据-取费表'!B41/(1+'数据-取费表'!C42),0)</f>
        <v>#N/A</v>
      </c>
      <c r="E52" s="11" t="s">
        <v>2192</v>
      </c>
      <c r="F52" s="184">
        <f>'数据-取费表'!B41</f>
        <v>5.6000000000000001E-2</v>
      </c>
      <c r="G52" s="2480"/>
      <c r="H52" s="138"/>
      <c r="I52" s="2478"/>
      <c r="J52" s="1811">
        <v>1</v>
      </c>
      <c r="K52" s="3149" t="s">
        <v>2193</v>
      </c>
      <c r="L52" s="3149"/>
      <c r="M52" s="1753">
        <f>D48</f>
        <v>0</v>
      </c>
      <c r="N52" s="1811" t="str">
        <f>E48</f>
        <v>销售额×税（费）率</v>
      </c>
      <c r="O52" s="1754" t="str">
        <f>F48</f>
        <v>免征</v>
      </c>
    </row>
    <row r="53" spans="1:35" ht="12" customHeight="1">
      <c r="A53" s="183" t="s">
        <v>2194</v>
      </c>
      <c r="B53" s="3147" t="s">
        <v>2195</v>
      </c>
      <c r="C53" s="3148"/>
      <c r="D53" s="182" t="e">
        <f ca="1">ROUND(D45*'数据-取费表'!B41/(1+'数据-取费表'!C42),0)</f>
        <v>#N/A</v>
      </c>
      <c r="E53" s="11" t="s">
        <v>2192</v>
      </c>
      <c r="F53" s="184">
        <f>'数据-取费表'!B41</f>
        <v>5.6000000000000001E-2</v>
      </c>
      <c r="G53" s="2480"/>
      <c r="H53" s="138"/>
      <c r="I53" s="2478"/>
      <c r="J53" s="1811">
        <v>2</v>
      </c>
      <c r="K53" s="3149" t="s">
        <v>2196</v>
      </c>
      <c r="L53" s="3149"/>
      <c r="M53" s="1753" t="e">
        <f t="shared" ref="M53:O54" ca="1" si="0">D55</f>
        <v>#N/A</v>
      </c>
      <c r="N53" s="1811" t="str">
        <f t="shared" si="0"/>
        <v>销售额×税（费）率</v>
      </c>
      <c r="O53" s="1754">
        <f t="shared" si="0"/>
        <v>5.0000000000000001E-4</v>
      </c>
    </row>
    <row r="54" spans="1:35" ht="12" customHeight="1">
      <c r="A54" s="183" t="s">
        <v>2197</v>
      </c>
      <c r="B54" s="3147" t="s">
        <v>2198</v>
      </c>
      <c r="C54" s="3148"/>
      <c r="D54" s="182" t="e">
        <f ca="1">C68</f>
        <v>#N/A</v>
      </c>
      <c r="E54" s="30" t="s">
        <v>2199</v>
      </c>
      <c r="F54" s="184">
        <f>'数据-取费表'!B41</f>
        <v>5.6000000000000001E-2</v>
      </c>
      <c r="G54" s="2480"/>
      <c r="H54" s="2481"/>
      <c r="I54" s="2478"/>
      <c r="J54" s="1811">
        <v>3</v>
      </c>
      <c r="K54" s="3149" t="s">
        <v>2200</v>
      </c>
      <c r="L54" s="3149"/>
      <c r="M54" s="1753" t="e">
        <f t="shared" ca="1" si="0"/>
        <v>#N/A</v>
      </c>
      <c r="N54" s="1811" t="str">
        <f t="shared" si="0"/>
        <v>增值额×税（费）率</v>
      </c>
      <c r="O54" s="1755" t="str">
        <f t="shared" si="0"/>
        <v>——</v>
      </c>
    </row>
    <row r="55" spans="1:35" ht="24" customHeight="1">
      <c r="A55" s="3150" t="s">
        <v>2201</v>
      </c>
      <c r="B55" s="3141"/>
      <c r="C55" s="3141"/>
      <c r="D55" s="185" t="e">
        <f ca="1">IF(H55="个人住宅",0,ROUND(D45*I55,0))</f>
        <v>#N/A</v>
      </c>
      <c r="E55" s="11" t="s">
        <v>2202</v>
      </c>
      <c r="F55" s="184">
        <f>IF(H55="正常",I55,"免征")</f>
        <v>5.0000000000000001E-4</v>
      </c>
      <c r="G55" s="2480"/>
      <c r="H55" s="2477" t="s">
        <v>2203</v>
      </c>
      <c r="I55" s="186">
        <f>'数据-取费表'!B49</f>
        <v>5.0000000000000001E-4</v>
      </c>
      <c r="J55" s="1811" t="str">
        <f>IF(H59="非个人房产","",4)</f>
        <v/>
      </c>
      <c r="K55" s="3149" t="str">
        <f>IF(H59="非个人房产","——","个人所得税")</f>
        <v>——</v>
      </c>
      <c r="L55" s="3149"/>
      <c r="M55" s="1756" t="str">
        <f>D59</f>
        <v>——</v>
      </c>
      <c r="N55" s="1809" t="str">
        <f>E59</f>
        <v>——</v>
      </c>
      <c r="O55" s="1757" t="str">
        <f>F59</f>
        <v>——</v>
      </c>
    </row>
    <row r="56" spans="1:35" ht="24.75">
      <c r="A56" s="3150" t="s">
        <v>2204</v>
      </c>
      <c r="B56" s="3141"/>
      <c r="C56" s="3141"/>
      <c r="D56" s="185" t="e">
        <f ca="1">IF(H56="个人住宅",D57,D58)</f>
        <v>#N/A</v>
      </c>
      <c r="E56" s="11" t="s">
        <v>2205</v>
      </c>
      <c r="F56" s="184" t="str">
        <f>IF(H56="正常",F58,"免征")</f>
        <v>——</v>
      </c>
      <c r="G56" s="2482" t="s">
        <v>2206</v>
      </c>
      <c r="H56" s="2483" t="s">
        <v>2203</v>
      </c>
      <c r="I56" s="2484"/>
      <c r="J56" s="1811" t="str">
        <f>IF(项目基本情况!K6="上海银行",IF(J55="",4,J55+1),"")</f>
        <v/>
      </c>
      <c r="K56" s="3151" t="str">
        <f>IF(项目基本情况!K6="上海银行","其他处置费用","")</f>
        <v/>
      </c>
      <c r="L56" s="3152"/>
      <c r="M56" s="1753" t="str">
        <f>IF(项目基本情况!K6="上海银行",M69,"")</f>
        <v/>
      </c>
      <c r="N56" s="3159" t="str">
        <f>IF(项目基本情况!K6="上海银行","包含处置中涉及的律师、诉讼、拍卖、评估等费用","")</f>
        <v/>
      </c>
      <c r="O56" s="3160"/>
    </row>
    <row r="57" spans="1:35" ht="12.75">
      <c r="A57" s="183" t="s">
        <v>2179</v>
      </c>
      <c r="B57" s="3118" t="s">
        <v>2207</v>
      </c>
      <c r="C57" s="3120"/>
      <c r="D57" s="187">
        <v>0</v>
      </c>
      <c r="E57" s="23" t="s">
        <v>2181</v>
      </c>
      <c r="F57" s="155"/>
      <c r="G57" s="2480"/>
      <c r="H57" s="2484"/>
      <c r="I57" s="2484"/>
      <c r="J57" s="3149">
        <f>IF(AND(J55="",J56=""),4,IF(项目基本情况!K6="上海银行",'结果表（商业）'!J56+1,'结果表（商业）'!J55+1))</f>
        <v>4</v>
      </c>
      <c r="K57" s="3149" t="s">
        <v>2208</v>
      </c>
      <c r="L57" s="2485" t="s">
        <v>2209</v>
      </c>
      <c r="M57" s="1758"/>
      <c r="N57" s="1759">
        <f ca="1">SUMIF(M52:M56,"&lt;9e307")</f>
        <v>0</v>
      </c>
      <c r="O57" s="2486"/>
      <c r="P57" s="1752" t="e">
        <f ca="1">N57/M49</f>
        <v>#VALUE!</v>
      </c>
    </row>
    <row r="58" spans="1:35" ht="24.75">
      <c r="A58" s="183" t="s">
        <v>2190</v>
      </c>
      <c r="B58" s="3118" t="s">
        <v>2210</v>
      </c>
      <c r="C58" s="3119"/>
      <c r="D58" s="185" t="e">
        <f ca="1">IF(H58="转让取得",C81,C97)</f>
        <v>#N/A</v>
      </c>
      <c r="E58" s="11" t="s">
        <v>2205</v>
      </c>
      <c r="F58" s="24" t="s">
        <v>34</v>
      </c>
      <c r="G58" s="2480"/>
      <c r="H58" s="2483" t="s">
        <v>2211</v>
      </c>
      <c r="I58" s="2484"/>
      <c r="J58" s="3149"/>
      <c r="K58" s="3149"/>
      <c r="L58" s="2485" t="s">
        <v>2212</v>
      </c>
      <c r="M58" s="1760"/>
      <c r="N58" s="2487" t="str">
        <f ca="1">NUMBERSTRING(INT(N57*10000),2)&amp;"元整"</f>
        <v>零元整</v>
      </c>
      <c r="O58" s="2488"/>
    </row>
    <row r="59" spans="1:35" ht="24.75" thickBot="1">
      <c r="A59" s="3161" t="s">
        <v>2213</v>
      </c>
      <c r="B59" s="3162"/>
      <c r="C59" s="3162"/>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3">
        <f>J57+1</f>
        <v>5</v>
      </c>
      <c r="K59" s="3149" t="s">
        <v>2215</v>
      </c>
      <c r="L59" s="1811" t="s">
        <v>2209</v>
      </c>
      <c r="M59" s="1761"/>
      <c r="N59" s="1762" t="e">
        <f ca="1">M49-N57</f>
        <v>#VALUE!</v>
      </c>
      <c r="O59" s="2490"/>
    </row>
    <row r="60" spans="1:35" ht="12" customHeight="1">
      <c r="A60" s="2491"/>
      <c r="B60" s="2413"/>
      <c r="C60" s="2413"/>
      <c r="D60" s="2413"/>
      <c r="E60" s="2164"/>
      <c r="F60" s="2484"/>
      <c r="G60" s="2484"/>
      <c r="H60" s="2492"/>
      <c r="I60" s="138"/>
      <c r="J60" s="3164"/>
      <c r="K60" s="3149"/>
      <c r="L60" s="2485" t="s">
        <v>2212</v>
      </c>
      <c r="M60" s="1760"/>
      <c r="N60" s="2487" t="e">
        <f ca="1">NUMBERSTRING(INT(N59*10000),2)&amp;"元整"</f>
        <v>#VALUE!</v>
      </c>
      <c r="O60" s="2488"/>
    </row>
    <row r="61" spans="1:35" ht="13.5" thickBot="1">
      <c r="A61" s="3153" t="s">
        <v>2216</v>
      </c>
      <c r="B61" s="3153"/>
      <c r="C61" s="3153"/>
      <c r="D61" s="3153"/>
      <c r="E61" s="3153"/>
      <c r="F61" s="2484"/>
      <c r="G61" s="2484"/>
      <c r="H61" s="2492"/>
      <c r="I61" s="138"/>
      <c r="J61" s="1811">
        <f>J59+1</f>
        <v>6</v>
      </c>
      <c r="K61" s="3149" t="s">
        <v>2217</v>
      </c>
      <c r="L61" s="3149"/>
      <c r="M61" s="1763"/>
      <c r="N61" s="1764" t="e">
        <f ca="1">ROUND(N59*10000/'数据-汇总表'!E3,0)</f>
        <v>#VALUE!</v>
      </c>
      <c r="O61" s="2493"/>
    </row>
    <row r="62" spans="1:35" ht="12.75">
      <c r="A62" s="3154" t="s">
        <v>2218</v>
      </c>
      <c r="B62" s="3155"/>
      <c r="C62" s="1803"/>
      <c r="D62" s="1803" t="s">
        <v>2219</v>
      </c>
      <c r="E62" s="192" t="s">
        <v>2220</v>
      </c>
      <c r="F62" s="2484"/>
      <c r="G62" s="2484"/>
      <c r="H62" s="2492"/>
      <c r="I62" s="138"/>
    </row>
    <row r="63" spans="1:35" ht="12.75">
      <c r="A63" s="203" t="s">
        <v>774</v>
      </c>
      <c r="B63" s="193" t="s">
        <v>2221</v>
      </c>
      <c r="C63" s="194" t="e">
        <f ca="1">ROUND((C64+C65)/(1+'数据-取费表'!C42),0)</f>
        <v>#N/A</v>
      </c>
      <c r="D63" s="195"/>
      <c r="E63" s="196"/>
      <c r="F63" s="2484"/>
      <c r="G63" s="2484"/>
      <c r="H63" s="2492"/>
      <c r="I63" s="138"/>
      <c r="J63" s="3156" t="s">
        <v>2222</v>
      </c>
      <c r="K63" s="2494"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t="e">
        <f ca="1">D45</f>
        <v>#N/A</v>
      </c>
      <c r="D64" s="200" t="s">
        <v>32</v>
      </c>
      <c r="E64" s="201"/>
      <c r="F64" s="2484"/>
      <c r="G64" s="2484"/>
      <c r="H64" s="2492"/>
      <c r="I64" s="138"/>
      <c r="J64" s="3156"/>
      <c r="K64" s="2494"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6"/>
      <c r="K65" s="2494"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6"/>
      <c r="K66" s="2494" t="s">
        <v>2230</v>
      </c>
      <c r="L66" s="1751" t="e">
        <f>M49*0.5%</f>
        <v>#VALUE!</v>
      </c>
      <c r="M66" s="24" t="e">
        <f>IF(L66&gt;0.5,0.5,ROUND(L66,0))</f>
        <v>#VALUE!</v>
      </c>
      <c r="N66" s="138" t="s">
        <v>2231</v>
      </c>
      <c r="Z66" s="2418"/>
      <c r="AI66" s="2419"/>
    </row>
    <row r="67" spans="1:35" ht="14.25" customHeight="1">
      <c r="A67" s="203" t="s">
        <v>772</v>
      </c>
      <c r="B67" s="204" t="s">
        <v>2232</v>
      </c>
      <c r="C67" s="207" t="e">
        <f ca="1">C63-C66</f>
        <v>#N/A</v>
      </c>
      <c r="D67" s="200" t="s">
        <v>32</v>
      </c>
      <c r="E67" s="201"/>
      <c r="F67" s="2484"/>
      <c r="G67" s="2484"/>
      <c r="H67" s="2492"/>
      <c r="I67" s="138"/>
      <c r="J67" s="3156"/>
      <c r="K67" s="2494"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t="e">
        <f ca="1">IF(C67&lt;=0,0,ROUND(C67*D68,0))</f>
        <v>#N/A</v>
      </c>
      <c r="D68" s="211">
        <f>'数据-取费表'!B41</f>
        <v>5.6000000000000001E-2</v>
      </c>
      <c r="E68" s="212"/>
      <c r="F68" s="2484"/>
      <c r="G68" s="2484"/>
      <c r="H68" s="2492"/>
      <c r="I68" s="138"/>
      <c r="J68" s="3156"/>
      <c r="K68" s="2494"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6"/>
      <c r="K69" s="2494"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7" t="s">
        <v>2237</v>
      </c>
      <c r="B70" s="3158"/>
      <c r="C70" s="3158"/>
      <c r="D70" s="3158"/>
      <c r="E70" s="3158"/>
      <c r="F70" s="3158"/>
      <c r="G70" s="3158"/>
      <c r="H70" s="315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1803"/>
      <c r="D71" s="1803"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t="e">
        <f ca="1">ROUND(D45/(1+'数据-取费表'!C42),0)</f>
        <v>#N/A</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t="e">
        <f ca="1">C74+C78</f>
        <v>#N/A</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7" t="s">
        <v>2246</v>
      </c>
      <c r="F76" s="3143"/>
      <c r="G76" s="3143"/>
      <c r="H76" s="317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15" t="s">
        <v>2248</v>
      </c>
      <c r="F77" s="224"/>
      <c r="G77" s="2508" t="s">
        <v>2249</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t="e">
        <f ca="1">ROUND(D45*D78/(1+'数据-取费表'!C42),0)</f>
        <v>#N/A</v>
      </c>
      <c r="D78" s="226">
        <f>'数据-取费表'!B43</f>
        <v>6.000000000000001E-3</v>
      </c>
      <c r="E78" s="3165" t="s">
        <v>2251</v>
      </c>
      <c r="F78" s="3166"/>
      <c r="G78" s="3166"/>
      <c r="H78" s="316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2252</v>
      </c>
      <c r="C79" s="207" t="e">
        <f ca="1">C72-C73</f>
        <v>#N/A</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t="e">
        <f ca="1">IF(C79&lt;=0,0,C79/C73)</f>
        <v>#N/A</v>
      </c>
      <c r="D80" s="200" t="s">
        <v>32</v>
      </c>
      <c r="E80" s="15" t="e">
        <f ca="1">IF(C80&gt;=200%,"增值额超过扣除项目金额200%",IF(C80&gt;=100%,"增值额超过扣除项目金额100%，未超过200%",IF(C80&gt;=50%,"增值额超过扣除项目金额50%，未超过100%",IF(C80&lt;50%,"增值额未超过扣除项目金额50%"))))</f>
        <v>#N/A</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7" t="s">
        <v>2255</v>
      </c>
      <c r="B83" s="3158"/>
      <c r="C83" s="3158"/>
      <c r="D83" s="3158"/>
      <c r="E83" s="3158"/>
      <c r="F83" s="3158"/>
      <c r="G83" s="3158"/>
      <c r="H83" s="315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1803"/>
      <c r="D84" s="1803"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t="e">
        <f ca="1">ROUND(D45/(1+'数据-取费表'!C42),0)</f>
        <v>#N/A</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t="e">
        <f ca="1">IF(H88="仅含出让金",C87+C90+C91+C92+C93+C94,C87+C91+C92+C93+C94)</f>
        <v>#N/A</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1799"/>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5" t="s">
        <v>2264</v>
      </c>
      <c r="F91" s="3166"/>
      <c r="G91" s="3166"/>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5" t="s">
        <v>2268</v>
      </c>
      <c r="F92" s="3166"/>
      <c r="G92" s="3166"/>
      <c r="H92" s="316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t="e">
        <f ca="1">ROUND(D45*D93/(1+'数据-取费表'!C42),0)</f>
        <v>#N/A</v>
      </c>
      <c r="D93" s="226">
        <f>'数据-取费表'!B43</f>
        <v>6.000000000000001E-3</v>
      </c>
      <c r="E93" s="3165" t="s">
        <v>2251</v>
      </c>
      <c r="F93" s="3166"/>
      <c r="G93" s="3166"/>
      <c r="H93" s="316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8" t="s">
        <v>2272</v>
      </c>
      <c r="F94" s="3169"/>
      <c r="G94" s="3169"/>
      <c r="H94" s="317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2252</v>
      </c>
      <c r="C95" s="207" t="e">
        <f ca="1">ROUND(C85-C86,0)</f>
        <v>#N/A</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t="e">
        <f ca="1">IF(C95&lt;=0,0,C95/C86)</f>
        <v>#N/A</v>
      </c>
      <c r="D96" s="200" t="s">
        <v>32</v>
      </c>
      <c r="E96" s="15" t="e">
        <f ca="1">IF(C96&gt;=200%,"增值额超过扣除项目金额200%",IF(C96&gt;=100%,"增值额超过扣除项目金额100%，未超过200%",IF(C96&gt;=50%,"增值额超过扣除项目金额50%，未超过100%",IF(C96&lt;50%,"增值额未超过扣除项目金额50%"))))</f>
        <v>#N/A</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71"/>
      <c r="E100" s="3104" t="s">
        <v>2275</v>
      </c>
      <c r="F100" s="3104"/>
      <c r="G100" s="3104"/>
      <c r="H100" s="3171"/>
      <c r="I100" s="138"/>
    </row>
    <row r="101" spans="1:35" ht="18.75" customHeight="1">
      <c r="A101" s="3172" t="s">
        <v>2276</v>
      </c>
      <c r="B101" s="3173"/>
      <c r="C101" s="735" t="str">
        <f>C4</f>
        <v>比较法-商业</v>
      </c>
      <c r="D101" s="736" t="str">
        <f>D4</f>
        <v>收益法 (1层商业)</v>
      </c>
      <c r="E101" s="3174" t="s">
        <v>2277</v>
      </c>
      <c r="F101" s="3175"/>
      <c r="G101" s="2515" t="s">
        <v>2278</v>
      </c>
      <c r="H101" s="1046" t="e">
        <f ca="1">H118</f>
        <v>#N/A</v>
      </c>
      <c r="I101" s="138"/>
    </row>
    <row r="102" spans="1:35" ht="18.75" customHeight="1">
      <c r="A102" s="3176" t="s">
        <v>2279</v>
      </c>
      <c r="B102" s="2515" t="s">
        <v>2278</v>
      </c>
      <c r="C102" s="735">
        <f ca="1">C19</f>
        <v>0</v>
      </c>
      <c r="D102" s="736" t="e">
        <f ca="1">D19</f>
        <v>#N/A</v>
      </c>
      <c r="E102" s="3174"/>
      <c r="F102" s="3175"/>
      <c r="G102" s="2515" t="s">
        <v>2280</v>
      </c>
      <c r="H102" s="371" t="e">
        <f ca="1">I118</f>
        <v>#N/A</v>
      </c>
      <c r="I102" s="138"/>
    </row>
    <row r="103" spans="1:35" ht="42.75" customHeight="1">
      <c r="A103" s="3176"/>
      <c r="B103" s="2515" t="s">
        <v>2280</v>
      </c>
      <c r="C103" s="737">
        <f ca="1">C20</f>
        <v>41809</v>
      </c>
      <c r="D103" s="738">
        <f ca="1">D20</f>
        <v>0</v>
      </c>
      <c r="E103" s="3177" t="s">
        <v>2281</v>
      </c>
      <c r="F103" s="3178"/>
      <c r="G103" s="2516" t="s">
        <v>2282</v>
      </c>
      <c r="H103" s="1046">
        <f>IF(D36="正常操作",H104+H105+H106,H105+H106)</f>
        <v>0</v>
      </c>
      <c r="I103" s="138"/>
    </row>
    <row r="104" spans="1:35" ht="18.75" customHeight="1">
      <c r="A104" s="3176" t="s">
        <v>2283</v>
      </c>
      <c r="B104" s="2517" t="s">
        <v>2278</v>
      </c>
      <c r="C104" s="739" t="e">
        <f ca="1">H118</f>
        <v>#N/A</v>
      </c>
      <c r="D104" s="740"/>
      <c r="E104" s="2263" t="s">
        <v>2284</v>
      </c>
      <c r="F104" s="2255"/>
      <c r="G104" s="2516" t="s">
        <v>2282</v>
      </c>
      <c r="H104" s="1047">
        <f>IF(D36="同一抵押权人同一抵押物续贷",C36&amp;"（未扣减，详见特别提示）",C36)</f>
        <v>0</v>
      </c>
      <c r="I104" s="138"/>
    </row>
    <row r="105" spans="1:35" ht="18.75" customHeight="1" thickBot="1">
      <c r="A105" s="3185"/>
      <c r="B105" s="2518" t="s">
        <v>2280</v>
      </c>
      <c r="C105" s="741" t="e">
        <f ca="1">I118</f>
        <v>#N/A</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6" t="str">
        <f>IF(项目基本情况!E8="已注销","——","3.房地产抵押价值")</f>
        <v>3.房地产抵押价值</v>
      </c>
      <c r="F107" s="3175"/>
      <c r="G107" s="2515" t="s">
        <v>2278</v>
      </c>
      <c r="H107" s="1046" t="e">
        <f ca="1">IF(E107="——","——",H101-H103)</f>
        <v>#N/A</v>
      </c>
      <c r="I107" s="138"/>
    </row>
    <row r="108" spans="1:35" ht="18.75" customHeight="1">
      <c r="A108" s="138"/>
      <c r="B108" s="138"/>
      <c r="C108" s="138"/>
      <c r="D108" s="138"/>
      <c r="E108" s="3186"/>
      <c r="F108" s="3175"/>
      <c r="G108" s="2515" t="s">
        <v>2280</v>
      </c>
      <c r="H108" s="371" t="e">
        <f ca="1">ROUND(H107*10000/'数据-汇总表'!E3,0)</f>
        <v>#N/A</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75"/>
      <c r="G109" s="2515" t="s">
        <v>2278</v>
      </c>
      <c r="H109" s="348" t="str">
        <f>IF(E109="——","——",H101-H105-H106)</f>
        <v>——</v>
      </c>
      <c r="I109" s="138"/>
    </row>
    <row r="110" spans="1:35" ht="18.75" customHeight="1">
      <c r="A110" s="138"/>
      <c r="B110" s="138"/>
      <c r="C110" s="138"/>
      <c r="D110" s="138"/>
      <c r="E110" s="3186"/>
      <c r="F110" s="3175"/>
      <c r="G110" s="2515" t="s">
        <v>2280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5" t="s">
        <v>2278</v>
      </c>
      <c r="H111" s="1046" t="str">
        <f>IF(E111="——","——",N59)</f>
        <v>——</v>
      </c>
      <c r="I111" s="138"/>
    </row>
    <row r="112" spans="1:35" ht="18.75" customHeight="1" thickBot="1">
      <c r="A112" s="138"/>
      <c r="B112" s="138"/>
      <c r="C112" s="138"/>
      <c r="D112" s="138"/>
      <c r="E112" s="3189"/>
      <c r="F112" s="3190"/>
      <c r="G112" s="2520" t="s">
        <v>2280</v>
      </c>
      <c r="H112" s="789" t="str">
        <f>IF(E111="——","——",N61)</f>
        <v>——</v>
      </c>
      <c r="I112" s="138"/>
    </row>
    <row r="113" spans="1:11" ht="18.75" customHeight="1">
      <c r="A113" s="138"/>
      <c r="B113" s="138"/>
      <c r="C113" s="138"/>
      <c r="D113" s="138"/>
      <c r="E113" s="3191" t="s">
        <v>2286</v>
      </c>
      <c r="F113" s="3191"/>
      <c r="G113" s="3191"/>
      <c r="H113" s="3191"/>
      <c r="I113" s="138"/>
    </row>
    <row r="114" spans="1:11" ht="3.75" customHeight="1">
      <c r="A114" s="2413"/>
      <c r="B114" s="2413"/>
      <c r="C114" s="2413"/>
      <c r="D114" s="2413"/>
      <c r="E114" s="2491"/>
      <c r="F114" s="2491"/>
      <c r="G114" s="2491"/>
      <c r="H114" s="2491"/>
      <c r="I114" s="2413"/>
    </row>
    <row r="115" spans="1:11" ht="18.75" customHeight="1">
      <c r="A115" s="3192" t="s">
        <v>2288</v>
      </c>
      <c r="B115" s="3193"/>
      <c r="C115" s="3193"/>
      <c r="D115" s="3193"/>
      <c r="E115" s="3193"/>
      <c r="F115" s="3193"/>
      <c r="G115" s="3193"/>
      <c r="H115" s="3193"/>
      <c r="I115" s="3194"/>
    </row>
    <row r="116" spans="1:11" ht="27" customHeight="1">
      <c r="A116" s="3060" t="s">
        <v>2289</v>
      </c>
      <c r="B116" s="3180" t="s">
        <v>2290</v>
      </c>
      <c r="C116" s="3180" t="s">
        <v>2291</v>
      </c>
      <c r="D116" s="3182" t="s">
        <v>2292</v>
      </c>
      <c r="E116" s="3183"/>
      <c r="F116" s="3184" t="s">
        <v>2293</v>
      </c>
      <c r="G116" s="3184"/>
      <c r="H116" s="3060" t="s">
        <v>2294</v>
      </c>
      <c r="I116" s="3060"/>
    </row>
    <row r="117" spans="1:11" ht="18.75" customHeight="1">
      <c r="A117" s="3060"/>
      <c r="B117" s="3181"/>
      <c r="C117" s="3181"/>
      <c r="D117" s="1797" t="s">
        <v>2295</v>
      </c>
      <c r="E117" s="1797" t="s">
        <v>2296</v>
      </c>
      <c r="F117" s="1797" t="s">
        <v>2295</v>
      </c>
      <c r="G117" s="1797" t="s">
        <v>2297</v>
      </c>
      <c r="H117" s="1797" t="s">
        <v>2295</v>
      </c>
      <c r="I117" s="1797" t="s">
        <v>2297</v>
      </c>
    </row>
    <row r="118" spans="1:11" ht="24.75" customHeight="1">
      <c r="A118" s="2521" t="str">
        <f>项目基本情况!S2</f>
        <v>新疆维吾尔自治区塔城市新城区伊宁路1-5层部分办公用房房地产</v>
      </c>
      <c r="B118" s="1797">
        <f>M18</f>
        <v>0</v>
      </c>
      <c r="C118" s="1797">
        <f>M19</f>
        <v>0</v>
      </c>
      <c r="D118" s="1797" t="e">
        <f ca="1">ROUND(IF(D32="总价",C34,E118*B118/10000),0)</f>
        <v>#N/A</v>
      </c>
      <c r="E118" s="1797" t="e">
        <f ca="1">ROUND(IF(C33="自定义",IF(D32="楼面单价",C34,D118*10000/B118),I118-G118),0)</f>
        <v>#N/A</v>
      </c>
      <c r="F118" s="1797" t="e">
        <f ca="1">ROUND(IF(D32="总价",C35,G118*B118/10000),0)</f>
        <v>#N/A</v>
      </c>
      <c r="G118" s="1797" t="e">
        <f ca="1">ROUND(IF(D32="楼面单价",C35,F118*10000/B118),0)</f>
        <v>#N/A</v>
      </c>
      <c r="H118" s="1797" t="e">
        <f ca="1">ROUND(IF(D32="总价",C32,I118*B118/10000),0)</f>
        <v>#N/A</v>
      </c>
      <c r="I118" s="1797" t="e">
        <f ca="1">ROUND(IF(D32="楼面单价",C32,H118*10000/B118),0)</f>
        <v>#N/A</v>
      </c>
    </row>
    <row r="119" spans="1:11" ht="18.75" customHeight="1">
      <c r="A119" s="3060" t="s">
        <v>2298</v>
      </c>
      <c r="B119" s="3060"/>
      <c r="C119" s="3060"/>
      <c r="D119" s="3198" t="e">
        <f ca="1">NUMBERSTRING(INT(D118*10000),2)&amp;"元整"</f>
        <v>#N/A</v>
      </c>
      <c r="E119" s="3200"/>
      <c r="F119" s="3198" t="e">
        <f ca="1">NUMBERSTRING(INT(F118*10000),2)&amp;"元整"</f>
        <v>#N/A</v>
      </c>
      <c r="G119" s="3200"/>
      <c r="H119" s="3198" t="e">
        <f ca="1">NUMBERSTRING(INT(H118*10000),2)&amp;"元整"</f>
        <v>#N/A</v>
      </c>
      <c r="I119" s="3200"/>
    </row>
    <row r="120" spans="1:11" ht="18.75" customHeight="1">
      <c r="A120" s="3202" t="str">
        <f>IF(项目基本情况!B9="房地产市场价值","",MID(E103,3,LEN(E103)-2))</f>
        <v/>
      </c>
      <c r="B120" s="3203"/>
      <c r="C120" s="3204"/>
      <c r="D120" s="3202">
        <f>H103</f>
        <v>0</v>
      </c>
      <c r="E120" s="3203"/>
      <c r="F120" s="3203"/>
      <c r="G120" s="3203"/>
      <c r="H120" s="3203"/>
      <c r="I120" s="3204"/>
      <c r="K120" s="2418" t="str">
        <f>IF(D120=0,"故，本次评估不存在"&amp;A120,"故，本次评估"&amp;A120&amp;"为人民币"&amp;D120&amp;"万元整。")</f>
        <v>故，本次评估不存在</v>
      </c>
    </row>
    <row r="121" spans="1:11" ht="18.75" customHeight="1">
      <c r="A121" s="3195" t="s">
        <v>2298</v>
      </c>
      <c r="B121" s="3196"/>
      <c r="C121" s="3197"/>
      <c r="D121" s="3198" t="str">
        <f>IF(D120=0,"零元整",NUMBERSTRING(INT(D120*10000),2)&amp;"元整")</f>
        <v>零元整</v>
      </c>
      <c r="E121" s="3199"/>
      <c r="F121" s="3199"/>
      <c r="G121" s="3199"/>
      <c r="H121" s="3199"/>
      <c r="I121" s="3200"/>
    </row>
    <row r="122" spans="1:11" ht="18.75" customHeight="1">
      <c r="A122" s="3201" t="str">
        <f>IF(项目基本情况!B9="房地产市场价值","",MID(E107,3,LEN(E107)-2))</f>
        <v/>
      </c>
      <c r="B122" s="3201"/>
      <c r="C122" s="3201"/>
      <c r="D122" s="3202" t="e">
        <f ca="1">H107</f>
        <v>#N/A</v>
      </c>
      <c r="E122" s="3203"/>
      <c r="F122" s="3203"/>
      <c r="G122" s="3203"/>
      <c r="H122" s="3203"/>
      <c r="I122" s="3204"/>
    </row>
    <row r="123" spans="1:11" ht="18.75" customHeight="1">
      <c r="A123" s="3060" t="s">
        <v>2298</v>
      </c>
      <c r="B123" s="3060"/>
      <c r="C123" s="3060"/>
      <c r="D123" s="3198" t="e">
        <f ca="1">NUMBERSTRING(INT(D122*10000),2)&amp;"元整"</f>
        <v>#N/A</v>
      </c>
      <c r="E123" s="3199"/>
      <c r="F123" s="3199"/>
      <c r="G123" s="3199"/>
      <c r="H123" s="3199"/>
      <c r="I123" s="3200"/>
    </row>
    <row r="124" spans="1:11" ht="18.75" customHeight="1">
      <c r="A124" s="3201" t="str">
        <f>IF(项目基本情况!B9="房地产市场价值","",MID(E109,3,LEN(E109)-2))</f>
        <v/>
      </c>
      <c r="B124" s="3201"/>
      <c r="C124" s="3201"/>
      <c r="D124" s="3202" t="str">
        <f>H109</f>
        <v>——</v>
      </c>
      <c r="E124" s="3203"/>
      <c r="F124" s="3203"/>
      <c r="G124" s="3203"/>
      <c r="H124" s="3203"/>
      <c r="I124" s="3204"/>
    </row>
    <row r="125" spans="1:11" ht="18.75" customHeight="1">
      <c r="A125" s="3060" t="s">
        <v>2298</v>
      </c>
      <c r="B125" s="3060"/>
      <c r="C125" s="3060"/>
      <c r="D125" s="3198" t="e">
        <f>NUMBERSTRING(INT(D124*10000),2)&amp;"元整"</f>
        <v>#VALUE!</v>
      </c>
      <c r="E125" s="3199"/>
      <c r="F125" s="3199"/>
      <c r="G125" s="3199"/>
      <c r="H125" s="3199"/>
      <c r="I125" s="3200"/>
    </row>
    <row r="126" spans="1:11" ht="18.75" customHeight="1">
      <c r="A126" s="3201" t="str">
        <f>IF(项目基本情况!B9="房地产市场价值","",MID(E111,3,LEN(E111)-2))</f>
        <v/>
      </c>
      <c r="B126" s="3201"/>
      <c r="C126" s="3201"/>
      <c r="D126" s="3202" t="str">
        <f>H111</f>
        <v>——</v>
      </c>
      <c r="E126" s="3203"/>
      <c r="F126" s="3203"/>
      <c r="G126" s="3203"/>
      <c r="H126" s="3203"/>
      <c r="I126" s="3204"/>
    </row>
    <row r="127" spans="1:11" ht="18.75" customHeight="1">
      <c r="A127" s="3060" t="s">
        <v>2298</v>
      </c>
      <c r="B127" s="3060"/>
      <c r="C127" s="3060"/>
      <c r="D127" s="3198" t="e">
        <f>NUMBERSTRING(INT(D126*10000),2)&amp;"元整"</f>
        <v>#VALUE!</v>
      </c>
      <c r="E127" s="3199"/>
      <c r="F127" s="3199"/>
      <c r="G127" s="3199"/>
      <c r="H127" s="3199"/>
      <c r="I127" s="3200"/>
    </row>
    <row r="128" spans="1:11" ht="21.75" customHeight="1">
      <c r="A128" s="3205" t="s">
        <v>2299</v>
      </c>
      <c r="B128" s="3205"/>
      <c r="C128" s="3205"/>
      <c r="D128" s="3205"/>
      <c r="E128" s="3205"/>
      <c r="F128" s="3205"/>
      <c r="G128" s="3205"/>
      <c r="H128" s="3205"/>
      <c r="I128" s="3205"/>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2307</v>
      </c>
      <c r="B1" s="1939"/>
      <c r="C1" s="242"/>
      <c r="D1" s="242"/>
      <c r="E1" s="242"/>
      <c r="F1" s="242"/>
      <c r="G1" s="1380">
        <f>MATCH(B1,'数据-取费表'!A6:A16,0)+5</f>
        <v>7</v>
      </c>
    </row>
    <row r="2" spans="1:9" s="244" customFormat="1" ht="18" customHeight="1">
      <c r="A2" s="245" t="s">
        <v>2308</v>
      </c>
      <c r="B2" s="246">
        <f ca="1">IF(D2="——",C52,C52-E2)</f>
        <v>531</v>
      </c>
      <c r="C2" s="243" t="s">
        <v>2309</v>
      </c>
      <c r="D2" s="2544" t="s">
        <v>70</v>
      </c>
      <c r="E2" s="1441" t="e">
        <f ca="1">SUMIF(INDIRECT("'"&amp;G2&amp;"'"&amp;"!A:A"),"承租人权益价值",INDIRECT("'"&amp;G2&amp;"'"&amp;"!c:c"))</f>
        <v>#REF!</v>
      </c>
      <c r="F2" s="2545" t="s">
        <v>2309</v>
      </c>
      <c r="G2" s="2546"/>
    </row>
    <row r="3" spans="1:9" s="244" customFormat="1" ht="18" customHeight="1" thickBot="1">
      <c r="A3" s="247" t="s">
        <v>2310</v>
      </c>
      <c r="B3" s="248">
        <f ca="1">ROUND(B2*10000/(IF(B1="",'数据-汇总表'!E3,INDIRECT("'数据-取费表'!k"&amp;$G$1))),0)</f>
        <v>2326</v>
      </c>
      <c r="C3" s="243" t="s">
        <v>2311</v>
      </c>
      <c r="D3" s="243"/>
      <c r="E3" s="243"/>
      <c r="F3" s="243"/>
      <c r="G3" s="243"/>
    </row>
    <row r="4" spans="1:9" s="252" customFormat="1" ht="15.75">
      <c r="A4" s="249" t="s">
        <v>2312</v>
      </c>
      <c r="B4" s="250"/>
      <c r="C4" s="250"/>
      <c r="D4" s="250"/>
      <c r="E4" s="250"/>
      <c r="F4" s="250"/>
      <c r="G4" s="251"/>
    </row>
    <row r="5" spans="1:9" s="258" customFormat="1" ht="13.5" customHeight="1">
      <c r="A5" s="299" t="s">
        <v>2313</v>
      </c>
      <c r="B5" s="254" t="s">
        <v>2314</v>
      </c>
      <c r="C5" s="255">
        <f>C6+C7+C8</f>
        <v>0</v>
      </c>
      <c r="D5" s="255" t="s">
        <v>2315</v>
      </c>
      <c r="E5" s="256" t="s">
        <v>2316</v>
      </c>
      <c r="F5" s="256" t="s">
        <v>2317</v>
      </c>
      <c r="G5" s="257"/>
    </row>
    <row r="6" spans="1:9" s="258" customFormat="1" ht="13.5" customHeight="1">
      <c r="A6" s="950" t="s">
        <v>2318</v>
      </c>
      <c r="B6" s="259" t="s">
        <v>2319</v>
      </c>
      <c r="C6" s="260"/>
      <c r="D6" s="261"/>
      <c r="E6" s="262"/>
      <c r="F6" s="262"/>
      <c r="G6" s="263"/>
    </row>
    <row r="7" spans="1:9" s="258" customFormat="1" ht="13.5" customHeight="1">
      <c r="A7" s="950" t="s">
        <v>2320</v>
      </c>
      <c r="B7" s="259" t="s">
        <v>2321</v>
      </c>
      <c r="C7" s="264">
        <f>ROUND(C6*F7,0)</f>
        <v>0</v>
      </c>
      <c r="D7" s="264"/>
      <c r="E7" s="262"/>
      <c r="F7" s="265">
        <f>'数据-取费表'!B48+'数据-取费表'!B49</f>
        <v>3.0499999999999999E-2</v>
      </c>
      <c r="G7" s="263"/>
    </row>
    <row r="8" spans="1:9" s="267" customFormat="1">
      <c r="A8" s="950" t="s">
        <v>2322</v>
      </c>
      <c r="B8" s="259" t="s">
        <v>2323</v>
      </c>
      <c r="C8" s="264">
        <f>IF(G8="已包含在土地购买价格中","0",IF(B1="",'数据-取费表'!B29,IF(G9="全部缴纳",C9+C10,H9)))</f>
        <v>0</v>
      </c>
      <c r="D8" s="266"/>
      <c r="E8" s="264"/>
      <c r="F8" s="265"/>
      <c r="G8" s="2547"/>
    </row>
    <row r="9" spans="1:9" s="258" customFormat="1" ht="13.5" customHeight="1">
      <c r="A9" s="951" t="s">
        <v>799</v>
      </c>
      <c r="B9" s="268" t="s">
        <v>2324</v>
      </c>
      <c r="C9" s="269">
        <f ca="1">ROUND(D9*E9/10000,0)</f>
        <v>0</v>
      </c>
      <c r="D9" s="1033">
        <f ca="1">IF(B1="",'数据-汇总表'!E5,IF(INDIRECT("'数据-取费表'!c"&amp;$G$1)="住宅",INDIRECT("'数据-取费表'!k"&amp;$G$1),0))</f>
        <v>0</v>
      </c>
      <c r="E9" s="269">
        <f>'数据-取费表'!B27</f>
        <v>0</v>
      </c>
      <c r="F9" s="265"/>
      <c r="G9" s="2548"/>
      <c r="H9" s="1391"/>
      <c r="I9" s="2549" t="s">
        <v>2325</v>
      </c>
    </row>
    <row r="10" spans="1:9" s="258" customFormat="1" ht="13.5" customHeight="1">
      <c r="A10" s="951" t="s">
        <v>800</v>
      </c>
      <c r="B10" s="268" t="s">
        <v>2326</v>
      </c>
      <c r="C10" s="269">
        <f ca="1">ROUND(D10*E10/10000,0)</f>
        <v>0</v>
      </c>
      <c r="D10" s="1033">
        <f ca="1">IF(B1="",'数据-汇总表'!E6,IF(INDIRECT("'数据-取费表'!c"&amp;$G$1)="住宅",INDIRECT("'数据-取费表'!s"&amp;$G$1),INDIRECT("'数据-取费表'!k"&amp;$G$1)+INDIRECT("'数据-取费表'!s"&amp;$G$1)))</f>
        <v>2282.61</v>
      </c>
      <c r="E10" s="269">
        <f>'数据-取费表'!B28</f>
        <v>0</v>
      </c>
      <c r="F10" s="265"/>
      <c r="G10" s="270"/>
    </row>
    <row r="11" spans="1:9" s="258" customFormat="1" ht="13.5" hidden="1" customHeight="1">
      <c r="A11" s="271" t="s">
        <v>7</v>
      </c>
      <c r="B11" s="259" t="s">
        <v>2327</v>
      </c>
      <c r="C11" s="255"/>
      <c r="D11" s="1035"/>
      <c r="E11" s="262"/>
      <c r="F11" s="262"/>
      <c r="G11" s="263"/>
    </row>
    <row r="12" spans="1:9" s="258" customFormat="1" ht="13.5" hidden="1" customHeight="1">
      <c r="A12" s="271" t="s">
        <v>8</v>
      </c>
      <c r="B12" s="259" t="s">
        <v>2328</v>
      </c>
      <c r="C12" s="255">
        <v>0</v>
      </c>
      <c r="D12" s="1035"/>
      <c r="E12" s="272"/>
      <c r="F12" s="265">
        <v>3.0499999999999999E-2</v>
      </c>
      <c r="G12" s="263"/>
    </row>
    <row r="13" spans="1:9" s="258" customFormat="1" ht="13.5" hidden="1" customHeight="1">
      <c r="A13" s="271" t="s">
        <v>9</v>
      </c>
      <c r="B13" s="259" t="s">
        <v>2329</v>
      </c>
      <c r="C13" s="255"/>
      <c r="D13" s="1035"/>
      <c r="E13" s="262"/>
      <c r="F13" s="262"/>
      <c r="G13" s="263"/>
    </row>
    <row r="14" spans="1:9" s="258" customFormat="1" ht="13.5" hidden="1" customHeight="1">
      <c r="A14" s="271" t="s">
        <v>10</v>
      </c>
      <c r="B14" s="259" t="s">
        <v>2330</v>
      </c>
      <c r="C14" s="255"/>
      <c r="D14" s="1035"/>
      <c r="E14" s="262"/>
      <c r="F14" s="262"/>
      <c r="G14" s="263" t="s">
        <v>2331</v>
      </c>
    </row>
    <row r="15" spans="1:9" s="258" customFormat="1" ht="13.5" hidden="1" customHeight="1">
      <c r="A15" s="271" t="s">
        <v>11</v>
      </c>
      <c r="B15" s="259" t="s">
        <v>2332</v>
      </c>
      <c r="C15" s="264"/>
      <c r="D15" s="1035"/>
      <c r="E15" s="262"/>
      <c r="F15" s="262"/>
      <c r="G15" s="263" t="s">
        <v>2333</v>
      </c>
    </row>
    <row r="16" spans="1:9" s="258" customFormat="1" ht="13.5" hidden="1" customHeight="1">
      <c r="A16" s="271" t="s">
        <v>12</v>
      </c>
      <c r="B16" s="259" t="s">
        <v>2330</v>
      </c>
      <c r="C16" s="264"/>
      <c r="D16" s="1035"/>
      <c r="E16" s="262"/>
      <c r="F16" s="262"/>
      <c r="G16" s="263"/>
    </row>
    <row r="17" spans="1:7" s="258" customFormat="1" ht="13.5" hidden="1" customHeight="1">
      <c r="A17" s="271" t="s">
        <v>13</v>
      </c>
      <c r="B17" s="259" t="s">
        <v>2334</v>
      </c>
      <c r="C17" s="273"/>
      <c r="D17" s="1036"/>
      <c r="E17" s="273"/>
      <c r="F17" s="273"/>
      <c r="G17" s="263" t="s">
        <v>2333</v>
      </c>
    </row>
    <row r="18" spans="1:7" s="258" customFormat="1" ht="13.5" hidden="1" customHeight="1">
      <c r="A18" s="271" t="s">
        <v>14</v>
      </c>
      <c r="B18" s="259" t="s">
        <v>2335</v>
      </c>
      <c r="C18" s="264">
        <v>0</v>
      </c>
      <c r="D18" s="1035"/>
      <c r="E18" s="262"/>
      <c r="F18" s="265">
        <v>3.0499999999999999E-2</v>
      </c>
      <c r="G18" s="263" t="s">
        <v>2336</v>
      </c>
    </row>
    <row r="19" spans="1:7" s="267" customFormat="1" ht="13.5" customHeight="1">
      <c r="A19" s="299" t="s">
        <v>2337</v>
      </c>
      <c r="B19" s="254" t="s">
        <v>2338</v>
      </c>
      <c r="C19" s="255">
        <f ca="1">IF(G19="已包含在土地取得成本中","0",ROUND(D19*E19/10000,0))</f>
        <v>23</v>
      </c>
      <c r="D19" s="1037">
        <f ca="1">D9+D10</f>
        <v>2282.61</v>
      </c>
      <c r="E19" s="255">
        <f>'数据-取费表'!B31</f>
        <v>100</v>
      </c>
      <c r="F19" s="275"/>
      <c r="G19" s="2547"/>
    </row>
    <row r="20" spans="1:7" s="258" customFormat="1" ht="13.5" customHeight="1">
      <c r="A20" s="299" t="s">
        <v>2339</v>
      </c>
      <c r="B20" s="254" t="s">
        <v>2340</v>
      </c>
      <c r="C20" s="276">
        <f ca="1">ROUND((C5+C19)*F20,0)</f>
        <v>0</v>
      </c>
      <c r="D20" s="276"/>
      <c r="E20" s="276"/>
      <c r="F20" s="277">
        <f>'数据-取费表'!B37</f>
        <v>0.02</v>
      </c>
      <c r="G20" s="278" t="s">
        <v>2341</v>
      </c>
    </row>
    <row r="21" spans="1:7" s="258" customFormat="1" ht="13.5" customHeight="1">
      <c r="A21" s="299" t="s">
        <v>2342</v>
      </c>
      <c r="B21" s="254" t="s">
        <v>2343</v>
      </c>
      <c r="C21" s="279">
        <f>F21</f>
        <v>0.02</v>
      </c>
      <c r="D21" s="280" t="s">
        <v>2344</v>
      </c>
      <c r="E21" s="276"/>
      <c r="F21" s="277">
        <f>'数据-取费表'!B38</f>
        <v>0.02</v>
      </c>
      <c r="G21" s="278" t="s">
        <v>2345</v>
      </c>
    </row>
    <row r="22" spans="1:7" s="258" customFormat="1" ht="13.5" customHeight="1">
      <c r="A22" s="299" t="s">
        <v>2346</v>
      </c>
      <c r="B22" s="254" t="s">
        <v>2347</v>
      </c>
      <c r="C22" s="1355">
        <f ca="1">ROUND(SUM(C23:C25),0)</f>
        <v>1</v>
      </c>
      <c r="D22" s="279">
        <f ca="1">C26</f>
        <v>4.0000000000000002E-4</v>
      </c>
      <c r="E22" s="280" t="s">
        <v>2344</v>
      </c>
      <c r="F22" s="281">
        <f ca="1">'数据-取费表'!B40</f>
        <v>4.3499999999999997E-2</v>
      </c>
      <c r="G22" s="278" t="str">
        <f>IF('数据-取费表'!B22&lt;=1,"单利计息","复利计息")</f>
        <v>单利计息</v>
      </c>
    </row>
    <row r="23" spans="1:7" s="258" customFormat="1" ht="13.5" customHeight="1">
      <c r="A23" s="952" t="s">
        <v>2348</v>
      </c>
      <c r="B23" s="259" t="s">
        <v>2349</v>
      </c>
      <c r="C23" s="1356">
        <f ca="1">ROUND(IF('数据-取费表'!B22&lt;=1,C5*F22*'数据-取费表'!B23,C5*(POWER((1+F22),'数据-取费表'!B23)-1)),0)</f>
        <v>0</v>
      </c>
      <c r="D23" s="282"/>
      <c r="E23" s="282"/>
      <c r="F23" s="283"/>
      <c r="G23" s="284" t="s">
        <v>2350</v>
      </c>
    </row>
    <row r="24" spans="1:7" s="258" customFormat="1" ht="13.5" customHeight="1">
      <c r="A24" s="952" t="s">
        <v>2351</v>
      </c>
      <c r="B24" s="259" t="s">
        <v>2352</v>
      </c>
      <c r="C24" s="1356">
        <f ca="1">ROUND(IF('数据-取费表'!B22&lt;=1,C19*F22*('数据-取费表'!B19/2+'数据-取费表'!B21),C19*(POWER((1+F22),('数据-取费表'!B19/2+'数据-取费表'!B21))-1)),0)</f>
        <v>1</v>
      </c>
      <c r="D24" s="282"/>
      <c r="E24" s="282"/>
      <c r="F24" s="283"/>
      <c r="G24" s="284" t="s">
        <v>2353</v>
      </c>
    </row>
    <row r="25" spans="1:7" s="258" customFormat="1" ht="24">
      <c r="A25" s="952" t="s">
        <v>2354</v>
      </c>
      <c r="B25" s="259" t="s">
        <v>2355</v>
      </c>
      <c r="C25" s="1356">
        <f ca="1">ROUND(IF('数据-取费表'!B22&lt;=1,C20*F22*'数据-取费表'!B23/2,C20*(POWER((1+F22),'数据-取费表'!B23/2)-1)),0)</f>
        <v>0</v>
      </c>
      <c r="D25" s="282"/>
      <c r="E25" s="285"/>
      <c r="F25" s="283"/>
      <c r="G25" s="286" t="s">
        <v>2356</v>
      </c>
    </row>
    <row r="26" spans="1:7" s="258" customFormat="1">
      <c r="A26" s="952" t="s">
        <v>794</v>
      </c>
      <c r="B26" s="259" t="s">
        <v>2357</v>
      </c>
      <c r="C26" s="282">
        <f ca="1">ROUND(IF('数据-取费表'!B22&lt;=1,F21*F22*'数据-取费表'!B23/2,F21*(POWER((1+F22),'数据-取费表'!B23/2)-1)),4)</f>
        <v>4.0000000000000002E-4</v>
      </c>
      <c r="D26" s="282"/>
      <c r="E26" s="285"/>
      <c r="F26" s="283"/>
      <c r="G26" s="287"/>
    </row>
    <row r="27" spans="1:7" s="258" customFormat="1" ht="24.75">
      <c r="A27" s="299" t="s">
        <v>2358</v>
      </c>
      <c r="B27" s="288" t="s">
        <v>2359</v>
      </c>
      <c r="C27" s="289">
        <f ca="1">C28</f>
        <v>2</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ROUND((C5+C19+C20)*F27*'数据-取费表'!B21/'数据-取费表'!B20,0)</f>
        <v>2</v>
      </c>
      <c r="D28" s="279"/>
      <c r="E28" s="280"/>
      <c r="F28" s="290"/>
      <c r="G28" s="291"/>
    </row>
    <row r="29" spans="1:7" s="258" customFormat="1" ht="13.5" customHeight="1">
      <c r="A29" s="952" t="s">
        <v>791</v>
      </c>
      <c r="B29" s="292" t="s">
        <v>2363</v>
      </c>
      <c r="C29" s="282">
        <f ca="1">ROUND(C21*F27*'数据-取费表'!B21/'数据-取费表'!B20,4)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v>
      </c>
      <c r="D31" s="274"/>
      <c r="E31" s="255"/>
      <c r="F31" s="294"/>
      <c r="G31" s="278" t="s">
        <v>2368</v>
      </c>
    </row>
    <row r="32" spans="1:7" s="252" customFormat="1" ht="15.75">
      <c r="A32" s="296" t="s">
        <v>2369</v>
      </c>
      <c r="B32" s="297"/>
      <c r="C32" s="297"/>
      <c r="D32" s="297"/>
      <c r="E32" s="297"/>
      <c r="F32" s="297"/>
      <c r="G32" s="298"/>
    </row>
    <row r="33" spans="1:7" s="258" customFormat="1" ht="13.5" customHeight="1">
      <c r="A33" s="299" t="s">
        <v>781</v>
      </c>
      <c r="B33" s="254" t="s">
        <v>2370</v>
      </c>
      <c r="C33" s="300">
        <f ca="1">SUM(C34:C38)</f>
        <v>452</v>
      </c>
      <c r="D33" s="276"/>
      <c r="E33" s="256"/>
      <c r="F33" s="285"/>
      <c r="G33" s="278"/>
    </row>
    <row r="34" spans="1:7" s="302" customFormat="1" ht="13.5" customHeight="1">
      <c r="A34" s="952" t="s">
        <v>790</v>
      </c>
      <c r="B34" s="259" t="s">
        <v>2371</v>
      </c>
      <c r="C34" s="264">
        <f ca="1">IF(B1="",IF(F34=100%,'数据-取费表'!M16,'数据-取费表'!O16),IF(F34=100%,INDIRECT("'数据-取费表'!m"&amp;$G$1)+INDIRECT("'数据-取费表'!t"&amp;$G$1),INDIRECT("'数据-取费表'!o"&amp;$G$1)+INDIRECT("'数据-取费表'!aq"&amp;$G$1)))</f>
        <v>411</v>
      </c>
      <c r="D34" s="261"/>
      <c r="E34" s="264"/>
      <c r="F34" s="301">
        <f ca="1">IF('数据-取费表'!B24=0,1,IF(B1="",'数据-取费表'!N16,INDIRECT("'数据-取费表'!n"&amp;$G$1)))</f>
        <v>1</v>
      </c>
      <c r="G34" s="263" t="s">
        <v>2372</v>
      </c>
    </row>
    <row r="35" spans="1:7" ht="13.5" customHeight="1">
      <c r="A35" s="952" t="s">
        <v>795</v>
      </c>
      <c r="B35" s="259" t="s">
        <v>2373</v>
      </c>
      <c r="C35" s="264">
        <f ca="1">ROUND(C34*F35,0)</f>
        <v>12</v>
      </c>
      <c r="D35" s="264"/>
      <c r="E35" s="264"/>
      <c r="F35" s="303">
        <f>'数据-取费表'!B33</f>
        <v>0.03</v>
      </c>
      <c r="G35" s="263" t="s">
        <v>2374</v>
      </c>
    </row>
    <row r="36" spans="1:7" ht="24">
      <c r="A36" s="952" t="s">
        <v>796</v>
      </c>
      <c r="B36" s="259" t="s">
        <v>2375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2376</v>
      </c>
    </row>
    <row r="37" spans="1:7" s="302" customFormat="1" ht="13.5" customHeight="1">
      <c r="A37" s="952" t="s">
        <v>797</v>
      </c>
      <c r="B37" s="259" t="s">
        <v>2377</v>
      </c>
      <c r="C37" s="293">
        <f ca="1">ROUND(E37*D37*F34/10000,0)</f>
        <v>23</v>
      </c>
      <c r="D37" s="261">
        <f ca="1">D19</f>
        <v>2282.61</v>
      </c>
      <c r="E37" s="293">
        <f>'数据-取费表'!B35</f>
        <v>100</v>
      </c>
      <c r="F37" s="303"/>
      <c r="G37" s="305" t="s">
        <v>2378</v>
      </c>
    </row>
    <row r="38" spans="1:7" ht="13.5" customHeight="1">
      <c r="A38" s="952" t="s">
        <v>798</v>
      </c>
      <c r="B38" s="259" t="s">
        <v>2379</v>
      </c>
      <c r="C38" s="264">
        <f ca="1">ROUND(C34*F38,0)</f>
        <v>6</v>
      </c>
      <c r="D38" s="264"/>
      <c r="E38" s="264"/>
      <c r="F38" s="303">
        <f>'数据-取费表'!B36</f>
        <v>1.4999999999999999E-2</v>
      </c>
      <c r="G38" s="263" t="s">
        <v>2374</v>
      </c>
    </row>
    <row r="39" spans="1:7" s="258" customFormat="1" ht="13.5" customHeight="1">
      <c r="A39" s="299" t="s">
        <v>2380</v>
      </c>
      <c r="B39" s="254" t="s">
        <v>2381</v>
      </c>
      <c r="C39" s="276">
        <f ca="1">ROUND(C33*F20,0)</f>
        <v>9</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ROUND(IF('数据-取费表'!B22&lt;=1,C33*F22*'数据-取费表'!B21/2,C33*(POWER((1+F22),'数据-取费表'!B21/2)-1)),0)</f>
        <v>10</v>
      </c>
      <c r="D42" s="282"/>
      <c r="E42" s="282"/>
      <c r="F42" s="283"/>
      <c r="G42" s="3264" t="s">
        <v>2390</v>
      </c>
    </row>
    <row r="43" spans="1:7" ht="13.5" customHeight="1">
      <c r="A43" s="952" t="s">
        <v>791</v>
      </c>
      <c r="B43" s="259" t="s">
        <v>2391</v>
      </c>
      <c r="C43" s="282">
        <f ca="1">ROUND(IF('数据-取费表'!B22&lt;=1,C39*F22*'数据-取费表'!B21/2,C39*(POWER((1+F22),'数据-取费表'!B21/2)-1)),0)</f>
        <v>0</v>
      </c>
      <c r="D43" s="282"/>
      <c r="E43" s="282"/>
      <c r="F43" s="283"/>
      <c r="G43" s="3265"/>
    </row>
    <row r="44" spans="1:7" ht="13.5" customHeight="1">
      <c r="A44" s="952" t="s">
        <v>792</v>
      </c>
      <c r="B44" s="259" t="s">
        <v>2392</v>
      </c>
      <c r="C44" s="282">
        <f ca="1">ROUND(IF('数据-取费表'!B22&lt;=1,C40*F22*'数据-取费表'!B21/2,C40*(POWER((1+F22),'数据-取费表'!B21/2)-1)),4)</f>
        <v>4.0000000000000002E-4</v>
      </c>
      <c r="D44" s="282"/>
      <c r="E44" s="282"/>
      <c r="F44" s="283"/>
      <c r="G44" s="3266"/>
    </row>
    <row r="45" spans="1:7" s="258" customFormat="1" ht="13.5" customHeight="1">
      <c r="A45" s="299" t="s">
        <v>2393</v>
      </c>
      <c r="B45" s="288" t="s">
        <v>2359</v>
      </c>
      <c r="C45" s="289">
        <f ca="1">C46</f>
        <v>46</v>
      </c>
      <c r="D45" s="279">
        <f ca="1">C47</f>
        <v>2E-3</v>
      </c>
      <c r="E45" s="280" t="s">
        <v>2385</v>
      </c>
      <c r="F45" s="290"/>
      <c r="G45" s="291" t="s">
        <v>2394</v>
      </c>
    </row>
    <row r="46" spans="1:7" s="258" customFormat="1" ht="13.5" customHeight="1">
      <c r="A46" s="952" t="s">
        <v>790</v>
      </c>
      <c r="B46" s="292" t="s">
        <v>2395</v>
      </c>
      <c r="C46" s="293">
        <f ca="1">ROUND((C33+C39)*F27,0)</f>
        <v>46</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1730">
        <f>ROUND(F30/(1+'数据-取费表'!C42),4)</f>
        <v>5.33E-2</v>
      </c>
      <c r="D48" s="280" t="s">
        <v>2385</v>
      </c>
      <c r="E48" s="276"/>
      <c r="F48" s="281"/>
      <c r="G48" s="278" t="s">
        <v>2398</v>
      </c>
    </row>
    <row r="49" spans="1:7" ht="16.5" customHeight="1">
      <c r="A49" s="299" t="s">
        <v>2364</v>
      </c>
      <c r="B49" s="254" t="s">
        <v>2399</v>
      </c>
      <c r="C49" s="276">
        <f ca="1">ROUND((C33+C39+C41+C45)/(1-C40-D41-D45-C48),0)</f>
        <v>559</v>
      </c>
      <c r="D49" s="276"/>
      <c r="E49" s="276"/>
      <c r="F49" s="308"/>
      <c r="G49" s="278" t="s">
        <v>2400</v>
      </c>
    </row>
    <row r="50" spans="1:7" s="302" customFormat="1" ht="24">
      <c r="A50" s="299" t="s">
        <v>2401</v>
      </c>
      <c r="B50" s="254" t="s">
        <v>2402</v>
      </c>
      <c r="C50" s="276"/>
      <c r="D50" s="276"/>
      <c r="E50" s="276"/>
      <c r="F50" s="308">
        <f>IF('数据-取费表'!B24=0,'数据-取费表'!N16,1)</f>
        <v>0.9</v>
      </c>
      <c r="G50" s="291" t="s">
        <v>2403</v>
      </c>
    </row>
    <row r="51" spans="1:7" ht="16.5" customHeight="1">
      <c r="A51" s="299" t="s">
        <v>2404</v>
      </c>
      <c r="B51" s="254" t="s">
        <v>2405</v>
      </c>
      <c r="C51" s="276">
        <f ca="1">ROUND(C49*F50,0)</f>
        <v>503</v>
      </c>
      <c r="D51" s="276"/>
      <c r="E51" s="276"/>
      <c r="F51" s="308"/>
      <c r="G51" s="278" t="s">
        <v>2406</v>
      </c>
    </row>
    <row r="52" spans="1:7" s="252" customFormat="1" ht="16.5" thickBot="1">
      <c r="A52" s="309" t="s">
        <v>2407</v>
      </c>
      <c r="B52" s="310"/>
      <c r="C52" s="311">
        <f ca="1">C31+C51</f>
        <v>531</v>
      </c>
      <c r="D52" s="310"/>
      <c r="E52" s="310"/>
      <c r="F52" s="310"/>
      <c r="G52" s="312"/>
    </row>
    <row r="55" spans="1:7" ht="15">
      <c r="B55" s="314" t="s">
        <v>2408</v>
      </c>
      <c r="C55" s="315"/>
    </row>
    <row r="56" spans="1:7">
      <c r="B56" s="317" t="s">
        <v>1511</v>
      </c>
      <c r="C56" s="319">
        <f ca="1">1-C57</f>
        <v>5.3000000000000047E-2</v>
      </c>
    </row>
    <row r="57" spans="1:7">
      <c r="B57" s="317" t="s">
        <v>1512</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2307</v>
      </c>
      <c r="B1" s="1939"/>
      <c r="C1" s="2550" t="s">
        <v>2409</v>
      </c>
      <c r="D1" s="242"/>
      <c r="E1" s="242"/>
      <c r="F1" s="242"/>
      <c r="G1" s="1380">
        <f>MATCH(B1,'数据-取费表'!A6:A16,0)+5</f>
        <v>7</v>
      </c>
      <c r="H1" s="1283" t="str">
        <f>IF(ISERROR(FIND("住宅",B1)),"非住宅","住宅")</f>
        <v>非住宅</v>
      </c>
    </row>
    <row r="2" spans="1:8" s="244" customFormat="1" ht="18" customHeight="1">
      <c r="A2" s="245" t="s">
        <v>2308</v>
      </c>
      <c r="B2" s="246">
        <f ca="1">ROUND(IF(D2="——",C52/10000,C52/10000-E2),0)</f>
        <v>533</v>
      </c>
      <c r="C2" s="243" t="s">
        <v>2309</v>
      </c>
      <c r="D2" s="2544" t="s">
        <v>70</v>
      </c>
      <c r="E2" s="1441" t="e">
        <f ca="1">SUMIF(INDIRECT("'"&amp;G2&amp;"'"&amp;"!A:A"),"承租人权益价值",INDIRECT("'"&amp;G2&amp;"'"&amp;"!c:c"))</f>
        <v>#REF!</v>
      </c>
      <c r="F2" s="2545" t="s">
        <v>2309</v>
      </c>
      <c r="G2" s="2546"/>
    </row>
    <row r="3" spans="1:8" s="244" customFormat="1" ht="18" customHeight="1" thickBot="1">
      <c r="A3" s="247" t="s">
        <v>2310</v>
      </c>
      <c r="B3" s="248">
        <f ca="1">ROUND(B2*10000/(IF(B1="",'数据-汇总表'!E3,INDIRECT("'数据-取费表'!k"&amp;$G$1))),0)</f>
        <v>2335</v>
      </c>
      <c r="C3" s="243" t="s">
        <v>2311</v>
      </c>
      <c r="D3" s="243"/>
      <c r="E3" s="243"/>
      <c r="F3" s="243"/>
      <c r="G3" s="243"/>
    </row>
    <row r="4" spans="1:8" s="252" customFormat="1" ht="15.75">
      <c r="A4" s="249" t="s">
        <v>2312</v>
      </c>
      <c r="B4" s="250"/>
      <c r="C4" s="250"/>
      <c r="D4" s="250"/>
      <c r="E4" s="250"/>
      <c r="F4" s="250"/>
      <c r="G4" s="251"/>
    </row>
    <row r="5" spans="1:8" s="258" customFormat="1" ht="13.5" customHeight="1">
      <c r="A5" s="299" t="s">
        <v>2313</v>
      </c>
      <c r="B5" s="254" t="s">
        <v>2314</v>
      </c>
      <c r="C5" s="255">
        <f ca="1">C6+C7+C8</f>
        <v>0</v>
      </c>
      <c r="D5" s="255" t="s">
        <v>2315</v>
      </c>
      <c r="E5" s="256" t="s">
        <v>2316</v>
      </c>
      <c r="F5" s="256" t="s">
        <v>2317</v>
      </c>
      <c r="G5" s="257"/>
    </row>
    <row r="6" spans="1:8" s="258" customFormat="1" ht="13.5" customHeight="1">
      <c r="A6" s="950" t="s">
        <v>2318</v>
      </c>
      <c r="B6" s="259" t="s">
        <v>2319</v>
      </c>
      <c r="C6" s="260"/>
      <c r="D6" s="261"/>
      <c r="E6" s="262"/>
      <c r="F6" s="262"/>
      <c r="G6" s="263"/>
    </row>
    <row r="7" spans="1:8" s="258" customFormat="1" ht="13.5" customHeight="1">
      <c r="A7" s="950" t="s">
        <v>2320</v>
      </c>
      <c r="B7" s="259" t="s">
        <v>2321</v>
      </c>
      <c r="C7" s="264">
        <f>ROUND(C6*F7,0)</f>
        <v>0</v>
      </c>
      <c r="D7" s="264"/>
      <c r="E7" s="262"/>
      <c r="F7" s="265">
        <f>'数据-取费表'!B48+'数据-取费表'!B49</f>
        <v>3.0499999999999999E-2</v>
      </c>
      <c r="G7" s="263"/>
    </row>
    <row r="8" spans="1:8" s="267" customFormat="1">
      <c r="A8" s="950" t="s">
        <v>2322</v>
      </c>
      <c r="B8" s="259" t="s">
        <v>2323</v>
      </c>
      <c r="C8" s="264">
        <f ca="1">IF(G8="已包含在土地购买价格中",0,C9+C10)</f>
        <v>0</v>
      </c>
      <c r="D8" s="266"/>
      <c r="E8" s="264"/>
      <c r="F8" s="265"/>
      <c r="G8" s="2547"/>
    </row>
    <row r="9" spans="1:8" s="258" customFormat="1" ht="13.5" customHeight="1">
      <c r="A9" s="951" t="s">
        <v>799</v>
      </c>
      <c r="B9" s="268" t="s">
        <v>2324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2326</v>
      </c>
      <c r="C10" s="269">
        <f ca="1">ROUND(D10*E10,0)</f>
        <v>0</v>
      </c>
      <c r="D10" s="1033">
        <f ca="1">IF(B1="",'数据-汇总表'!E6,IF(INDIRECT("'数据-取费表'!c"&amp;$G$1)="住宅",INDIRECT("'数据-取费表'!s"&amp;$G$1),INDIRECT("'数据-取费表'!k"&amp;$G$1)+INDIRECT("'数据-取费表'!s"&amp;$G$1)))</f>
        <v>2282.61</v>
      </c>
      <c r="E10" s="269">
        <f>'数据-取费表'!B28</f>
        <v>0</v>
      </c>
      <c r="F10" s="265"/>
      <c r="G10" s="270"/>
    </row>
    <row r="11" spans="1:8" s="258" customFormat="1" ht="13.5" hidden="1" customHeight="1">
      <c r="A11" s="271" t="s">
        <v>7</v>
      </c>
      <c r="B11" s="259" t="s">
        <v>2327</v>
      </c>
      <c r="C11" s="255"/>
      <c r="D11" s="1035"/>
      <c r="E11" s="262"/>
      <c r="F11" s="262"/>
      <c r="G11" s="263"/>
    </row>
    <row r="12" spans="1:8" s="258" customFormat="1" ht="13.5" hidden="1" customHeight="1">
      <c r="A12" s="271" t="s">
        <v>8</v>
      </c>
      <c r="B12" s="259" t="s">
        <v>2410</v>
      </c>
      <c r="C12" s="255">
        <v>0</v>
      </c>
      <c r="D12" s="1035"/>
      <c r="E12" s="272"/>
      <c r="F12" s="265">
        <v>3.0499999999999999E-2</v>
      </c>
      <c r="G12" s="263"/>
    </row>
    <row r="13" spans="1:8" s="258" customFormat="1" ht="13.5" hidden="1" customHeight="1">
      <c r="A13" s="271" t="s">
        <v>9</v>
      </c>
      <c r="B13" s="259" t="s">
        <v>2411</v>
      </c>
      <c r="C13" s="255"/>
      <c r="D13" s="1035"/>
      <c r="E13" s="262"/>
      <c r="F13" s="262"/>
      <c r="G13" s="263"/>
    </row>
    <row r="14" spans="1:8" s="258" customFormat="1" ht="13.5" hidden="1" customHeight="1">
      <c r="A14" s="271" t="s">
        <v>10</v>
      </c>
      <c r="B14" s="259" t="s">
        <v>2323</v>
      </c>
      <c r="C14" s="255"/>
      <c r="D14" s="1035"/>
      <c r="E14" s="262"/>
      <c r="F14" s="262"/>
      <c r="G14" s="263" t="s">
        <v>2412</v>
      </c>
    </row>
    <row r="15" spans="1:8" s="258" customFormat="1" ht="13.5" hidden="1" customHeight="1">
      <c r="A15" s="271" t="s">
        <v>11</v>
      </c>
      <c r="B15" s="259" t="s">
        <v>2413</v>
      </c>
      <c r="C15" s="264"/>
      <c r="D15" s="1035"/>
      <c r="E15" s="262"/>
      <c r="F15" s="262"/>
      <c r="G15" s="263" t="s">
        <v>2414</v>
      </c>
    </row>
    <row r="16" spans="1:8" s="258" customFormat="1" ht="13.5" hidden="1" customHeight="1">
      <c r="A16" s="271" t="s">
        <v>12</v>
      </c>
      <c r="B16" s="259" t="s">
        <v>2323</v>
      </c>
      <c r="C16" s="264"/>
      <c r="D16" s="1035"/>
      <c r="E16" s="262"/>
      <c r="F16" s="262"/>
      <c r="G16" s="263"/>
    </row>
    <row r="17" spans="1:7" s="258" customFormat="1" ht="13.5" hidden="1" customHeight="1">
      <c r="A17" s="271" t="s">
        <v>13</v>
      </c>
      <c r="B17" s="259" t="s">
        <v>2415</v>
      </c>
      <c r="C17" s="273"/>
      <c r="D17" s="1036"/>
      <c r="E17" s="273"/>
      <c r="F17" s="273"/>
      <c r="G17" s="263" t="s">
        <v>2414</v>
      </c>
    </row>
    <row r="18" spans="1:7" s="258" customFormat="1" ht="13.5" hidden="1" customHeight="1">
      <c r="A18" s="271" t="s">
        <v>14</v>
      </c>
      <c r="B18" s="259" t="s">
        <v>2416</v>
      </c>
      <c r="C18" s="264">
        <v>0</v>
      </c>
      <c r="D18" s="1035"/>
      <c r="E18" s="262"/>
      <c r="F18" s="265">
        <v>3.0499999999999999E-2</v>
      </c>
      <c r="G18" s="263" t="s">
        <v>2417</v>
      </c>
    </row>
    <row r="19" spans="1:7" s="267" customFormat="1" ht="13.5" customHeight="1">
      <c r="A19" s="299" t="s">
        <v>2418</v>
      </c>
      <c r="B19" s="254" t="s">
        <v>2419</v>
      </c>
      <c r="C19" s="255">
        <f ca="1">IF(G19="已包含在土地取得成本中","0",ROUND(D19*E19,0))</f>
        <v>228261</v>
      </c>
      <c r="D19" s="1037">
        <f ca="1">D9+D10</f>
        <v>2282.61</v>
      </c>
      <c r="E19" s="255">
        <f>'数据-取费表'!B31</f>
        <v>100</v>
      </c>
      <c r="F19" s="275"/>
      <c r="G19" s="2547"/>
    </row>
    <row r="20" spans="1:7" s="258" customFormat="1" ht="13.5" customHeight="1">
      <c r="A20" s="299" t="s">
        <v>2420</v>
      </c>
      <c r="B20" s="254" t="s">
        <v>2421</v>
      </c>
      <c r="C20" s="276">
        <f ca="1">ROUND((C5+C19)*F20,0)</f>
        <v>4565</v>
      </c>
      <c r="D20" s="276"/>
      <c r="E20" s="276"/>
      <c r="F20" s="277">
        <f>'数据-取费表'!B37</f>
        <v>0.02</v>
      </c>
      <c r="G20" s="278" t="s">
        <v>2422</v>
      </c>
    </row>
    <row r="21" spans="1:7" s="258" customFormat="1" ht="13.5" customHeight="1">
      <c r="A21" s="299" t="s">
        <v>2423</v>
      </c>
      <c r="B21" s="254" t="s">
        <v>2424</v>
      </c>
      <c r="C21" s="279">
        <f>F21</f>
        <v>0.02</v>
      </c>
      <c r="D21" s="280" t="s">
        <v>2425</v>
      </c>
      <c r="E21" s="276"/>
      <c r="F21" s="277">
        <f>'数据-取费表'!B38</f>
        <v>0.02</v>
      </c>
      <c r="G21" s="278" t="s">
        <v>2426</v>
      </c>
    </row>
    <row r="22" spans="1:7" s="258" customFormat="1" ht="13.5" customHeight="1">
      <c r="A22" s="299" t="s">
        <v>2427</v>
      </c>
      <c r="B22" s="254" t="s">
        <v>2428</v>
      </c>
      <c r="C22" s="1381">
        <f ca="1">ROUND(SUM(C23:C25),0)</f>
        <v>10028</v>
      </c>
      <c r="D22" s="279">
        <f ca="1">C26</f>
        <v>4.0000000000000002E-4</v>
      </c>
      <c r="E22" s="280" t="s">
        <v>2425</v>
      </c>
      <c r="F22" s="281">
        <f ca="1">'数据-取费表'!B40</f>
        <v>4.3499999999999997E-2</v>
      </c>
      <c r="G22" s="278" t="str">
        <f>IF('数据-取费表'!B22&lt;=1,"单利计息","复利计息")</f>
        <v>单利计息</v>
      </c>
    </row>
    <row r="23" spans="1:7" s="258" customFormat="1" ht="13.5" customHeight="1">
      <c r="A23" s="952" t="s">
        <v>2318</v>
      </c>
      <c r="B23" s="259" t="s">
        <v>2429</v>
      </c>
      <c r="C23" s="1382">
        <f ca="1">ROUND(IF('数据-取费表'!B22&lt;=1,C5*F22*'数据-取费表'!B22,C5*(POWER((1+F22),'数据-取费表'!B22)-1)),0)</f>
        <v>0</v>
      </c>
      <c r="D23" s="282"/>
      <c r="E23" s="282"/>
      <c r="F23" s="283"/>
      <c r="G23" s="284" t="s">
        <v>2430</v>
      </c>
    </row>
    <row r="24" spans="1:7" s="258" customFormat="1" ht="13.5" customHeight="1">
      <c r="A24" s="952" t="s">
        <v>2320</v>
      </c>
      <c r="B24" s="259" t="s">
        <v>2431</v>
      </c>
      <c r="C24" s="1382">
        <f ca="1">ROUND(IF('数据-取费表'!B22&lt;=1,C19*F22*('数据-取费表'!B19/2+'数据-取费表'!B20),C19*(POWER((1+F22),('数据-取费表'!B19/2+'数据-取费表'!B20))-1)),0)</f>
        <v>9929</v>
      </c>
      <c r="D24" s="282"/>
      <c r="E24" s="282"/>
      <c r="F24" s="283"/>
      <c r="G24" s="284" t="s">
        <v>2432</v>
      </c>
    </row>
    <row r="25" spans="1:7" s="258" customFormat="1" ht="24">
      <c r="A25" s="952" t="s">
        <v>2322</v>
      </c>
      <c r="B25" s="259" t="s">
        <v>2433</v>
      </c>
      <c r="C25" s="1382">
        <f ca="1">ROUND(IF('数据-取费表'!B22&lt;=1,C20*F22*'数据-取费表'!B22/2,C20*(POWER((1+F22),'数据-取费表'!B22/2)-1)),0)</f>
        <v>99</v>
      </c>
      <c r="D25" s="282"/>
      <c r="E25" s="285"/>
      <c r="F25" s="283"/>
      <c r="G25" s="286" t="s">
        <v>2434</v>
      </c>
    </row>
    <row r="26" spans="1:7" s="258" customFormat="1">
      <c r="A26" s="952" t="s">
        <v>794</v>
      </c>
      <c r="B26" s="259" t="s">
        <v>2357</v>
      </c>
      <c r="C26" s="282">
        <f ca="1">ROUND(IF('数据-取费表'!B22&lt;=1,F21*F22*'数据-取费表'!B22/2,F21*(POWER((1+F22),'数据-取费表'!B22/2)-1)),4)</f>
        <v>4.0000000000000002E-4</v>
      </c>
      <c r="D26" s="282"/>
      <c r="E26" s="285"/>
      <c r="F26" s="283"/>
      <c r="G26" s="287"/>
    </row>
    <row r="27" spans="1:7" s="258" customFormat="1" ht="24.75">
      <c r="A27" s="299" t="s">
        <v>2358</v>
      </c>
      <c r="B27" s="288" t="s">
        <v>2359</v>
      </c>
      <c r="C27" s="289">
        <f ca="1">C28</f>
        <v>23283</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ROUND((C5+C19+C20)*F27,0)</f>
        <v>23283</v>
      </c>
      <c r="D28" s="279"/>
      <c r="E28" s="280"/>
      <c r="F28" s="290"/>
      <c r="G28" s="291"/>
    </row>
    <row r="29" spans="1:7" s="258" customFormat="1" ht="13.5" customHeight="1">
      <c r="A29" s="952" t="s">
        <v>791</v>
      </c>
      <c r="B29" s="292" t="s">
        <v>2363</v>
      </c>
      <c r="C29" s="282">
        <f ca="1">ROUND(C21*F27,4)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287934</v>
      </c>
      <c r="D31" s="274"/>
      <c r="E31" s="255"/>
      <c r="F31" s="294"/>
      <c r="G31" s="278" t="s">
        <v>2368</v>
      </c>
    </row>
    <row r="32" spans="1:7" s="252" customFormat="1" ht="15.75">
      <c r="A32" s="296" t="s">
        <v>2435</v>
      </c>
      <c r="B32" s="297"/>
      <c r="C32" s="297"/>
      <c r="D32" s="297"/>
      <c r="E32" s="297"/>
      <c r="F32" s="297"/>
      <c r="G32" s="298"/>
    </row>
    <row r="33" spans="1:7" s="258" customFormat="1" ht="13.5" customHeight="1">
      <c r="A33" s="299" t="s">
        <v>781</v>
      </c>
      <c r="B33" s="254" t="s">
        <v>2436</v>
      </c>
      <c r="C33" s="300">
        <f ca="1">SUM(C34:C38)</f>
        <v>4521850</v>
      </c>
      <c r="D33" s="276"/>
      <c r="E33" s="256"/>
      <c r="F33" s="285"/>
      <c r="G33" s="278"/>
    </row>
    <row r="34" spans="1:7" s="302" customFormat="1" ht="13.5" customHeight="1">
      <c r="A34" s="952" t="s">
        <v>790</v>
      </c>
      <c r="B34" s="259" t="s">
        <v>2371</v>
      </c>
      <c r="C34" s="264">
        <f ca="1">ROUND(IF(B1="",SUMPRODUCT('数据-取费表'!K6:K14,'数据-取费表'!L6:L14),INDIRECT("'数据-取费表'!l"&amp;$G$1)*INDIRECT("'数据-取费表'!k"&amp;$G$1)+'数据-取费表'!L14*INDIRECT("'数据-取费表'!S"&amp;$G$1)),0)</f>
        <v>4108698</v>
      </c>
      <c r="D34" s="261"/>
      <c r="E34" s="264"/>
      <c r="F34" s="301"/>
      <c r="G34" s="263"/>
    </row>
    <row r="35" spans="1:7" ht="13.5" customHeight="1">
      <c r="A35" s="952" t="s">
        <v>795</v>
      </c>
      <c r="B35" s="259" t="s">
        <v>2373</v>
      </c>
      <c r="C35" s="264">
        <f ca="1">ROUND(C34*F35,0)</f>
        <v>123261</v>
      </c>
      <c r="D35" s="264"/>
      <c r="E35" s="264"/>
      <c r="F35" s="303">
        <f>'数据-取费表'!B33</f>
        <v>0.03</v>
      </c>
      <c r="G35" s="263" t="s">
        <v>2374</v>
      </c>
    </row>
    <row r="36" spans="1:7" ht="24">
      <c r="A36" s="952" t="s">
        <v>796</v>
      </c>
      <c r="B36" s="259" t="s">
        <v>2375</v>
      </c>
      <c r="C36" s="264">
        <f ca="1">ROUND(IF(B1="",SUM('数据-取费表'!AP6:AP13)*F36,IF(INDIRECT("'数据-取费表'!c"&amp;$G$1)="住宅",INDIRECT("'数据-取费表'!k"&amp;$G$1)*INDIRECT("'数据-取费表'!l"&amp;$G$1)*F36,0)),0)</f>
        <v>0</v>
      </c>
      <c r="D36" s="264"/>
      <c r="E36" s="264"/>
      <c r="F36" s="303">
        <f>'数据-取费表'!B34</f>
        <v>0</v>
      </c>
      <c r="G36" s="304" t="s">
        <v>2376</v>
      </c>
    </row>
    <row r="37" spans="1:7" s="302" customFormat="1" ht="13.5" customHeight="1">
      <c r="A37" s="952" t="s">
        <v>797</v>
      </c>
      <c r="B37" s="259" t="s">
        <v>2377</v>
      </c>
      <c r="C37" s="293">
        <f ca="1">ROUND(E37*D37,0)</f>
        <v>228261</v>
      </c>
      <c r="D37" s="261">
        <f ca="1">D19</f>
        <v>2282.61</v>
      </c>
      <c r="E37" s="293">
        <f>'数据-取费表'!B35</f>
        <v>100</v>
      </c>
      <c r="F37" s="303"/>
      <c r="G37" s="305"/>
    </row>
    <row r="38" spans="1:7" ht="13.5" customHeight="1">
      <c r="A38" s="952" t="s">
        <v>798</v>
      </c>
      <c r="B38" s="259" t="s">
        <v>2379</v>
      </c>
      <c r="C38" s="264">
        <f ca="1">ROUND(C34*F38,0)</f>
        <v>61630</v>
      </c>
      <c r="D38" s="264"/>
      <c r="E38" s="264"/>
      <c r="F38" s="303">
        <f>'数据-取费表'!B36</f>
        <v>1.4999999999999999E-2</v>
      </c>
      <c r="G38" s="263" t="s">
        <v>2374</v>
      </c>
    </row>
    <row r="39" spans="1:7" s="258" customFormat="1" ht="13.5" customHeight="1">
      <c r="A39" s="299" t="s">
        <v>2380</v>
      </c>
      <c r="B39" s="254" t="s">
        <v>2381</v>
      </c>
      <c r="C39" s="276">
        <f ca="1">ROUND(C33*F20,0)</f>
        <v>90437</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100317</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ROUND(IF('数据-取费表'!B22&lt;=1,C33*F22*'数据-取费表'!B20/2,C33*(POWER((1+F22),'数据-取费表'!B20/2)-1)),0)</f>
        <v>98350</v>
      </c>
      <c r="D42" s="282"/>
      <c r="E42" s="282"/>
      <c r="F42" s="283"/>
      <c r="G42" s="3264" t="s">
        <v>2437</v>
      </c>
    </row>
    <row r="43" spans="1:7" ht="13.5" customHeight="1">
      <c r="A43" s="952" t="s">
        <v>791</v>
      </c>
      <c r="B43" s="259" t="s">
        <v>2391</v>
      </c>
      <c r="C43" s="282">
        <f ca="1">ROUND(IF('数据-取费表'!B22&lt;=1,C39*F22*'数据-取费表'!B20/2,C39*(POWER((1+F22),'数据-取费表'!B20/2)-1)),0)</f>
        <v>1967</v>
      </c>
      <c r="D43" s="282"/>
      <c r="E43" s="282"/>
      <c r="F43" s="283"/>
      <c r="G43" s="3265"/>
    </row>
    <row r="44" spans="1:7" ht="13.5" customHeight="1">
      <c r="A44" s="952" t="s">
        <v>792</v>
      </c>
      <c r="B44" s="259" t="s">
        <v>2392</v>
      </c>
      <c r="C44" s="282">
        <f ca="1">ROUND(IF('数据-取费表'!B22&lt;=1,C40*F22*'数据-取费表'!B20/2,C40*(POWER((1+F22),'数据-取费表'!B20/2)-1)),4)</f>
        <v>4.0000000000000002E-4</v>
      </c>
      <c r="D44" s="282"/>
      <c r="E44" s="282"/>
      <c r="F44" s="283"/>
      <c r="G44" s="3266"/>
    </row>
    <row r="45" spans="1:7" s="258" customFormat="1" ht="13.5" customHeight="1">
      <c r="A45" s="299" t="s">
        <v>2393</v>
      </c>
      <c r="B45" s="288" t="s">
        <v>2359</v>
      </c>
      <c r="C45" s="289">
        <f ca="1">C46</f>
        <v>461229</v>
      </c>
      <c r="D45" s="279">
        <f ca="1">C47</f>
        <v>2E-3</v>
      </c>
      <c r="E45" s="280" t="s">
        <v>2385</v>
      </c>
      <c r="F45" s="290"/>
      <c r="G45" s="291" t="s">
        <v>2394</v>
      </c>
    </row>
    <row r="46" spans="1:7" s="258" customFormat="1" ht="13.5" customHeight="1">
      <c r="A46" s="952" t="s">
        <v>790</v>
      </c>
      <c r="B46" s="292" t="s">
        <v>2395</v>
      </c>
      <c r="C46" s="293">
        <f ca="1">ROUND((C33+C39)*F27,0)</f>
        <v>461229</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306">
        <f>ROUND(F30/(1+'数据-取费表'!C42),4)</f>
        <v>5.33E-2</v>
      </c>
      <c r="D48" s="280" t="s">
        <v>2385</v>
      </c>
      <c r="E48" s="276"/>
      <c r="F48" s="281"/>
      <c r="G48" s="278" t="s">
        <v>2398</v>
      </c>
    </row>
    <row r="49" spans="1:7" ht="16.5" customHeight="1">
      <c r="A49" s="299" t="s">
        <v>2364</v>
      </c>
      <c r="B49" s="254" t="s">
        <v>2438</v>
      </c>
      <c r="C49" s="276">
        <f ca="1">ROUND((C33+C39+C41+C45)/(1-C40-D41-D45-C48),0)</f>
        <v>5597569</v>
      </c>
      <c r="D49" s="276"/>
      <c r="E49" s="276"/>
      <c r="F49" s="308"/>
      <c r="G49" s="278" t="s">
        <v>2400</v>
      </c>
    </row>
    <row r="50" spans="1:7" s="302" customFormat="1">
      <c r="A50" s="299" t="s">
        <v>2401</v>
      </c>
      <c r="B50" s="254" t="s">
        <v>2402</v>
      </c>
      <c r="C50" s="276"/>
      <c r="D50" s="276"/>
      <c r="E50" s="276"/>
      <c r="F50" s="308">
        <f>IF('数据-取费表'!B24=0,'数据-取费表'!N16,1)</f>
        <v>0.9</v>
      </c>
      <c r="G50" s="291"/>
    </row>
    <row r="51" spans="1:7" ht="16.5" customHeight="1">
      <c r="A51" s="299" t="s">
        <v>2404</v>
      </c>
      <c r="B51" s="254" t="s">
        <v>2439</v>
      </c>
      <c r="C51" s="276">
        <f ca="1">ROUND(C49*F50,0)</f>
        <v>5037812</v>
      </c>
      <c r="D51" s="276"/>
      <c r="E51" s="276"/>
      <c r="F51" s="308"/>
      <c r="G51" s="278" t="s">
        <v>2406</v>
      </c>
    </row>
    <row r="52" spans="1:7" s="252" customFormat="1" ht="16.5" thickBot="1">
      <c r="A52" s="309" t="s">
        <v>2407</v>
      </c>
      <c r="B52" s="310"/>
      <c r="C52" s="311">
        <f ca="1">C31+C51</f>
        <v>5325746</v>
      </c>
      <c r="D52" s="310"/>
      <c r="E52" s="310"/>
      <c r="F52" s="310"/>
      <c r="G52" s="312"/>
    </row>
    <row r="55" spans="1:7" ht="15">
      <c r="B55" s="314" t="s">
        <v>2408</v>
      </c>
      <c r="C55" s="315"/>
    </row>
    <row r="56" spans="1:7">
      <c r="B56" s="317" t="s">
        <v>1511</v>
      </c>
      <c r="C56" s="319">
        <f ca="1">1-C57</f>
        <v>5.4000000000000048E-2</v>
      </c>
    </row>
    <row r="57" spans="1:7">
      <c r="B57" s="317" t="s">
        <v>1512</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2440</v>
      </c>
      <c r="B1" s="1583"/>
      <c r="C1" s="1584"/>
      <c r="D1" s="1582"/>
      <c r="E1" s="320"/>
      <c r="F1" s="320"/>
      <c r="G1" s="1583"/>
      <c r="H1" s="320"/>
      <c r="I1" s="320"/>
      <c r="J1" s="320"/>
      <c r="K1" s="320">
        <f>MATCH(C1,'数据-取费表'!A6:A16,0)+5</f>
        <v>7</v>
      </c>
    </row>
    <row r="2" spans="1:33" ht="18" customHeight="1">
      <c r="A2" s="245" t="s">
        <v>2308</v>
      </c>
      <c r="B2" s="248">
        <f ca="1">C32</f>
        <v>0</v>
      </c>
      <c r="C2" s="320" t="s">
        <v>2441</v>
      </c>
      <c r="D2" s="320"/>
      <c r="E2" s="320"/>
      <c r="F2" s="320"/>
      <c r="G2" s="320"/>
      <c r="H2" s="320"/>
      <c r="I2" s="320"/>
      <c r="J2" s="320"/>
      <c r="K2" s="320"/>
    </row>
    <row r="3" spans="1:33" ht="18" customHeight="1" thickBot="1">
      <c r="A3" s="247" t="s">
        <v>2310</v>
      </c>
      <c r="B3" s="248">
        <f ca="1">ROUND(B2*10000/IF(C1="",'数据-汇总表'!E3,INDIRECT("'数据-取费表'!K"&amp;$K$1)),0)</f>
        <v>0</v>
      </c>
      <c r="C3" s="320" t="s">
        <v>2442</v>
      </c>
      <c r="D3" s="320"/>
      <c r="E3" s="320"/>
      <c r="F3" s="320"/>
      <c r="G3" s="320"/>
      <c r="H3" s="320"/>
      <c r="I3" s="320"/>
      <c r="J3" s="320"/>
      <c r="K3" s="320"/>
    </row>
    <row r="4" spans="1:33" s="957" customFormat="1" ht="16.5" customHeight="1">
      <c r="A4" s="954" t="s">
        <v>2443</v>
      </c>
      <c r="B4" s="955"/>
      <c r="C4" s="997">
        <f>SUM(C8:K8)</f>
        <v>0</v>
      </c>
      <c r="D4" s="955"/>
      <c r="E4" s="955"/>
      <c r="F4" s="955"/>
      <c r="G4" s="955"/>
      <c r="H4" s="955"/>
      <c r="I4" s="955"/>
      <c r="J4" s="955"/>
      <c r="K4" s="956"/>
    </row>
    <row r="5" spans="1:33" s="961" customFormat="1" ht="24.75">
      <c r="A5" s="958" t="s">
        <v>2444</v>
      </c>
      <c r="B5" s="959" t="s">
        <v>2445</v>
      </c>
      <c r="C5" s="2551" t="s">
        <v>2446</v>
      </c>
      <c r="D5" s="2551" t="s">
        <v>2447</v>
      </c>
      <c r="E5" s="2551" t="s">
        <v>2448</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2449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2450</v>
      </c>
      <c r="B7" s="140" t="s">
        <v>2451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2452</v>
      </c>
      <c r="B8" s="177" t="s">
        <v>2453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2454</v>
      </c>
      <c r="B9" s="955"/>
      <c r="C9" s="955"/>
      <c r="D9" s="955"/>
      <c r="E9" s="955"/>
      <c r="F9" s="955"/>
      <c r="G9" s="955"/>
      <c r="H9" s="955"/>
      <c r="I9" s="955"/>
      <c r="J9" s="955"/>
      <c r="K9" s="956"/>
    </row>
    <row r="10" spans="1:33" s="971" customFormat="1" ht="13.5" customHeight="1">
      <c r="A10" s="958" t="s">
        <v>2455</v>
      </c>
      <c r="B10" s="8" t="s">
        <v>2456</v>
      </c>
      <c r="C10" s="967" t="s">
        <v>2457</v>
      </c>
      <c r="D10" s="968" t="s">
        <v>2458</v>
      </c>
      <c r="E10" s="968" t="s">
        <v>2459</v>
      </c>
      <c r="F10" s="968" t="s">
        <v>2460</v>
      </c>
      <c r="G10" s="8"/>
      <c r="H10" s="969"/>
      <c r="I10" s="969"/>
      <c r="J10" s="969"/>
      <c r="K10" s="970"/>
    </row>
    <row r="11" spans="1:33" s="976" customFormat="1" ht="13.5" customHeight="1">
      <c r="A11" s="972" t="s">
        <v>1331</v>
      </c>
      <c r="B11" s="973" t="s">
        <v>2461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2462</v>
      </c>
      <c r="C12" s="24">
        <f ca="1">ROUND(C11*F12,0)</f>
        <v>0</v>
      </c>
      <c r="D12" s="974"/>
      <c r="E12" s="375"/>
      <c r="F12" s="977">
        <f>'数据-取费表'!B33</f>
        <v>0.03</v>
      </c>
      <c r="G12" s="8" t="s">
        <v>2463</v>
      </c>
      <c r="H12" s="969"/>
      <c r="I12" s="969"/>
      <c r="J12" s="969"/>
      <c r="K12" s="970"/>
    </row>
    <row r="13" spans="1:33" s="976" customFormat="1" ht="13.5" customHeight="1">
      <c r="A13" s="972" t="s">
        <v>1333</v>
      </c>
      <c r="B13" s="973" t="s">
        <v>2464</v>
      </c>
      <c r="C13" s="24">
        <f ca="1">ROUND(IF(C1="",SUMIF('数据-取费表'!C:C,"住宅",'数据-取费表'!P:P)*F13,IF(INDIRECT("'数据-取费表'!c"&amp;$K$1)="住宅",INDIRECT("'数据-取费表'!P"&amp;$K$1)*F13,0)),0)</f>
        <v>0</v>
      </c>
      <c r="D13" s="1034"/>
      <c r="E13" s="375"/>
      <c r="F13" s="977">
        <f>'数据-取费表'!B34</f>
        <v>0</v>
      </c>
      <c r="G13" s="8" t="s">
        <v>2465</v>
      </c>
      <c r="H13" s="969"/>
      <c r="I13" s="969"/>
      <c r="J13" s="969"/>
      <c r="K13" s="970"/>
    </row>
    <row r="14" spans="1:33" s="978" customFormat="1" ht="13.5" customHeight="1">
      <c r="A14" s="972" t="s">
        <v>1334</v>
      </c>
      <c r="B14" s="973" t="s">
        <v>2466</v>
      </c>
      <c r="C14" s="24">
        <f ca="1">ROUND(D14*E14*F11/10000,0)</f>
        <v>0</v>
      </c>
      <c r="D14" s="1034">
        <f ca="1">IF(C1="",'数据-汇总表'!E3,INDIRECT("'数据-取费表'!K"&amp;$K$1)+INDIRECT("'数据-取费表'!S"&amp;$K$1))</f>
        <v>2282.61</v>
      </c>
      <c r="E14" s="24">
        <f>'数据-取费表'!B35</f>
        <v>100</v>
      </c>
      <c r="F14" s="977"/>
      <c r="G14" s="8" t="s">
        <v>2467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2468</v>
      </c>
      <c r="C15" s="984">
        <f ca="1">ROUND(C11*F15,0)</f>
        <v>0</v>
      </c>
      <c r="D15" s="979"/>
      <c r="E15" s="984"/>
      <c r="F15" s="985">
        <f>'数据-取费表'!B36</f>
        <v>1.4999999999999999E-2</v>
      </c>
      <c r="G15" s="140" t="s">
        <v>2469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2470</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2471</v>
      </c>
      <c r="C17" s="24">
        <f ca="1">ROUND(D17*E17/10000,0)</f>
        <v>0</v>
      </c>
      <c r="D17" s="1034">
        <f ca="1">D14</f>
        <v>2282.61</v>
      </c>
      <c r="E17" s="24">
        <f>'数据-取费表'!B32</f>
        <v>0</v>
      </c>
      <c r="F17" s="979"/>
      <c r="G17" s="140" t="s">
        <v>2472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2473</v>
      </c>
      <c r="C18" s="24">
        <f ca="1">C19+C20-IF(C1="",'数据-取费表'!B29,IF(G18="已全部缴纳",C19+C20,H18))</f>
        <v>0</v>
      </c>
      <c r="D18" s="1034"/>
      <c r="E18" s="24"/>
      <c r="F18" s="977"/>
      <c r="G18" s="2553"/>
      <c r="H18" s="1579"/>
      <c r="I18" s="2554" t="s">
        <v>2474</v>
      </c>
      <c r="J18" s="980"/>
      <c r="K18" s="981"/>
    </row>
    <row r="19" spans="1:33" s="976" customFormat="1" ht="13.5" customHeight="1">
      <c r="A19" s="972" t="s">
        <v>804</v>
      </c>
      <c r="B19" s="973" t="s">
        <v>2475</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2476</v>
      </c>
      <c r="C20" s="24">
        <f ca="1">ROUND(D20*E20/10000,0)</f>
        <v>0</v>
      </c>
      <c r="D20" s="1034">
        <f ca="1">IF(C1="",'数据-汇总表'!E6,IF(INDIRECT("'数据-取费表'!c"&amp;$K$1)="住宅",INDIRECT("'数据-取费表'!s"&amp;$K$1),INDIRECT("'数据-取费表'!k"&amp;$K$1)+INDIRECT("'数据-取费表'!s"&amp;$K$1)))</f>
        <v>2282.61</v>
      </c>
      <c r="E20" s="24">
        <f>'数据-取费表'!B28</f>
        <v>0</v>
      </c>
      <c r="F20" s="977"/>
      <c r="G20" s="15"/>
      <c r="H20" s="982"/>
      <c r="I20" s="982"/>
      <c r="J20" s="982"/>
      <c r="K20" s="983"/>
    </row>
    <row r="21" spans="1:33" s="976" customFormat="1" ht="13.5" customHeight="1">
      <c r="A21" s="962" t="s">
        <v>801</v>
      </c>
      <c r="B21" s="986" t="s">
        <v>2477</v>
      </c>
      <c r="C21" s="987">
        <f ca="1">C16+C17+C18</f>
        <v>0</v>
      </c>
      <c r="D21" s="988"/>
      <c r="E21" s="325"/>
      <c r="F21" s="325"/>
      <c r="G21" s="140" t="s">
        <v>2478</v>
      </c>
      <c r="H21" s="980"/>
      <c r="I21" s="980"/>
      <c r="J21" s="980"/>
      <c r="K21" s="981"/>
    </row>
    <row r="22" spans="1:33" s="976" customFormat="1" ht="13.5" customHeight="1">
      <c r="A22" s="962" t="s">
        <v>2450</v>
      </c>
      <c r="B22" s="986" t="s">
        <v>2479</v>
      </c>
      <c r="C22" s="987">
        <f ca="1">ROUND(C21*F22,0)</f>
        <v>0</v>
      </c>
      <c r="D22" s="325"/>
      <c r="E22" s="325"/>
      <c r="F22" s="989">
        <f>'数据-取费表'!B37</f>
        <v>0.02</v>
      </c>
      <c r="G22" s="8" t="s">
        <v>2480</v>
      </c>
      <c r="H22" s="969"/>
      <c r="I22" s="969"/>
      <c r="J22" s="969"/>
      <c r="K22" s="970"/>
    </row>
    <row r="23" spans="1:33" s="976" customFormat="1" ht="13.5" customHeight="1">
      <c r="A23" s="962" t="s">
        <v>2452</v>
      </c>
      <c r="B23" s="986" t="s">
        <v>2481</v>
      </c>
      <c r="C23" s="987">
        <f ca="1">ROUND(C4*F23*F11,0)</f>
        <v>0</v>
      </c>
      <c r="D23" s="325"/>
      <c r="E23" s="325"/>
      <c r="F23" s="989">
        <f>'数据-取费表'!B38</f>
        <v>0.02</v>
      </c>
      <c r="G23" s="8" t="s">
        <v>2482</v>
      </c>
      <c r="H23" s="969"/>
      <c r="I23" s="969"/>
      <c r="J23" s="969"/>
      <c r="K23" s="970"/>
    </row>
    <row r="24" spans="1:33" s="976" customFormat="1" ht="13.5" customHeight="1">
      <c r="A24" s="962" t="s">
        <v>2483</v>
      </c>
      <c r="B24" s="986" t="s">
        <v>2484</v>
      </c>
      <c r="C24" s="324">
        <f>ROUND(F24/(1+'数据-取费表'!C42),4)</f>
        <v>2.9000000000000001E-2</v>
      </c>
      <c r="D24" s="325" t="s">
        <v>15</v>
      </c>
      <c r="E24" s="325"/>
      <c r="F24" s="989">
        <f>'数据-取费表'!B48+'数据-取费表'!B49</f>
        <v>3.0499999999999999E-2</v>
      </c>
      <c r="G24" s="8" t="s">
        <v>2485</v>
      </c>
      <c r="H24" s="991"/>
      <c r="I24" s="991"/>
      <c r="J24" s="991"/>
      <c r="K24" s="992"/>
    </row>
    <row r="25" spans="1:33" s="976" customFormat="1" ht="13.5" customHeight="1">
      <c r="A25" s="962" t="s">
        <v>2486</v>
      </c>
      <c r="B25" s="988" t="s">
        <v>2487</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802</v>
      </c>
      <c r="B26" s="993" t="s">
        <v>2488</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0"/>
      <c r="I26" s="980"/>
      <c r="J26" s="980"/>
      <c r="K26" s="981"/>
    </row>
    <row r="27" spans="1:33" s="994" customFormat="1" ht="13.5" customHeight="1">
      <c r="A27" s="972" t="s">
        <v>803</v>
      </c>
      <c r="B27" s="993" t="s">
        <v>2489</v>
      </c>
      <c r="C27" s="1359">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0"/>
      <c r="I27" s="980"/>
      <c r="J27" s="980"/>
      <c r="K27" s="981"/>
    </row>
    <row r="28" spans="1:33" s="333" customFormat="1" ht="13.5" customHeight="1">
      <c r="A28" s="962" t="s">
        <v>2490</v>
      </c>
      <c r="B28" s="2556" t="s">
        <v>2491</v>
      </c>
      <c r="C28" s="331">
        <f ca="1">C30</f>
        <v>0</v>
      </c>
      <c r="D28" s="324">
        <f ca="1">C29</f>
        <v>0</v>
      </c>
      <c r="E28" s="326" t="s">
        <v>15</v>
      </c>
      <c r="F28" s="332">
        <f ca="1">IF(C1="",'数据-取费表'!Q16,INDIRECT("'数据-取费表'!q"&amp;$K$1))</f>
        <v>0.1</v>
      </c>
      <c r="G28" s="990"/>
      <c r="H28" s="991"/>
      <c r="I28" s="991"/>
      <c r="J28" s="991"/>
      <c r="K28" s="992"/>
    </row>
    <row r="29" spans="1:33" s="335" customFormat="1" ht="13.5" customHeight="1">
      <c r="A29" s="972" t="s">
        <v>802</v>
      </c>
      <c r="B29" s="995" t="s">
        <v>2492</v>
      </c>
      <c r="C29" s="328">
        <f ca="1">ROUND((1+C24)*F28*'数据-取费表'!B24/'数据-取费表'!B20,4)</f>
        <v>0</v>
      </c>
      <c r="D29" s="328"/>
      <c r="E29" s="329"/>
      <c r="F29" s="334"/>
      <c r="G29" s="140" t="s">
        <v>2493</v>
      </c>
      <c r="H29" s="980"/>
      <c r="I29" s="980"/>
      <c r="J29" s="980"/>
      <c r="K29" s="981"/>
    </row>
    <row r="30" spans="1:33" s="335" customFormat="1" ht="13.5" customHeight="1">
      <c r="A30" s="972" t="s">
        <v>803</v>
      </c>
      <c r="B30" s="995" t="s">
        <v>2494</v>
      </c>
      <c r="C30" s="336">
        <f ca="1">ROUND((C21+C22+C23)*F28,0)</f>
        <v>0</v>
      </c>
      <c r="D30" s="328"/>
      <c r="E30" s="329"/>
      <c r="F30" s="334"/>
      <c r="G30" s="140"/>
      <c r="H30" s="980"/>
      <c r="I30" s="980"/>
      <c r="J30" s="980"/>
      <c r="K30" s="981"/>
    </row>
    <row r="31" spans="1:33" s="976" customFormat="1" ht="13.5" customHeight="1" thickBot="1">
      <c r="A31" s="2557" t="s">
        <v>2495</v>
      </c>
      <c r="B31" s="1006" t="s">
        <v>2496</v>
      </c>
      <c r="C31" s="1007">
        <f>ROUND(C4*F31/(1+'数据-取费表'!C42),0)</f>
        <v>0</v>
      </c>
      <c r="D31" s="1008"/>
      <c r="E31" s="1009"/>
      <c r="F31" s="1010">
        <f>'数据-取费表'!B41</f>
        <v>5.6000000000000001E-2</v>
      </c>
      <c r="G31" s="1011" t="s">
        <v>2497</v>
      </c>
      <c r="H31" s="1012"/>
      <c r="I31" s="1012"/>
      <c r="J31" s="1012"/>
      <c r="K31" s="1013"/>
    </row>
    <row r="32" spans="1:33" s="971" customFormat="1" ht="13.5" customHeight="1" thickBot="1">
      <c r="A32" s="1001" t="s">
        <v>2498</v>
      </c>
      <c r="B32" s="1002"/>
      <c r="C32" s="1003">
        <f ca="1">ROUND((C4-C21-C22-C23-C25-C28-C31)/(1+C24+D25+D28),0)</f>
        <v>0</v>
      </c>
      <c r="D32" s="1002"/>
      <c r="E32" s="1002"/>
      <c r="F32" s="1002"/>
      <c r="G32" s="1004" t="s">
        <v>2499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4" t="s">
        <v>2517</v>
      </c>
      <c r="D4" s="3225"/>
      <c r="E4" s="3226" t="s">
        <v>2518</v>
      </c>
      <c r="F4" s="3227"/>
      <c r="G4" s="3224" t="s">
        <v>2519</v>
      </c>
      <c r="H4" s="3225"/>
      <c r="I4" s="3224" t="s">
        <v>2520</v>
      </c>
      <c r="J4" s="3225"/>
      <c r="K4" s="2593" t="s">
        <v>2521</v>
      </c>
      <c r="L4" s="1131"/>
      <c r="M4" s="1132"/>
      <c r="N4" s="1132"/>
      <c r="O4" s="1132"/>
      <c r="P4" s="3271" t="s">
        <v>2522</v>
      </c>
      <c r="Q4" s="3272"/>
      <c r="R4" s="3275" t="s">
        <v>2518</v>
      </c>
      <c r="S4" s="3276"/>
      <c r="T4" s="3275" t="s">
        <v>2519</v>
      </c>
      <c r="U4" s="3276"/>
      <c r="V4" s="3241" t="s">
        <v>2520</v>
      </c>
      <c r="W4" s="3241"/>
      <c r="X4" s="1815"/>
      <c r="Y4" s="3275" t="s">
        <v>2522</v>
      </c>
      <c r="Z4" s="3276"/>
      <c r="AA4" s="3270" t="s">
        <v>2518</v>
      </c>
      <c r="AB4" s="3270" t="s">
        <v>2519</v>
      </c>
      <c r="AC4" s="3270" t="s">
        <v>2520</v>
      </c>
    </row>
    <row r="5" spans="1:29" ht="15">
      <c r="A5" s="404"/>
      <c r="B5" s="405"/>
      <c r="C5" s="3279" t="s">
        <v>2523</v>
      </c>
      <c r="D5" s="3280"/>
      <c r="E5" s="3283" t="s">
        <v>2524</v>
      </c>
      <c r="F5" s="3284"/>
      <c r="G5" s="3279" t="s">
        <v>2525</v>
      </c>
      <c r="H5" s="3280"/>
      <c r="I5" s="3279" t="s">
        <v>2526</v>
      </c>
      <c r="J5" s="3280"/>
      <c r="K5" s="2594"/>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2594"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8" t="s">
        <v>2530</v>
      </c>
      <c r="Q7" s="3249"/>
      <c r="R7" s="769" t="s">
        <v>23</v>
      </c>
      <c r="S7" s="770">
        <f t="shared" ref="S7:S15" si="0">F7</f>
        <v>0</v>
      </c>
      <c r="T7" s="769" t="s">
        <v>23</v>
      </c>
      <c r="U7" s="770">
        <f t="shared" ref="U7:U15" si="1">H7</f>
        <v>0</v>
      </c>
      <c r="V7" s="769" t="s">
        <v>23</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2596" t="s">
        <v>3029</v>
      </c>
      <c r="F8" s="413">
        <f>SUMIF(61:61,E8,62:62)-SUMIF(61:61,C8,62:62)+100</f>
        <v>100</v>
      </c>
      <c r="G8" s="414" t="s">
        <v>3029</v>
      </c>
      <c r="H8" s="411">
        <f>SUMIF(61:61,G8,62:62)-SUMIF(61:61,C8,62:62)+100</f>
        <v>100</v>
      </c>
      <c r="I8" s="2596" t="s">
        <v>3029</v>
      </c>
      <c r="J8" s="411">
        <f>SUMIF(61:61,I8,62:62)-SUMIF(61:61,C8,62:62)+100</f>
        <v>100</v>
      </c>
      <c r="K8" s="2595"/>
      <c r="L8" s="1133"/>
      <c r="M8" s="1134"/>
      <c r="N8" s="1134"/>
      <c r="O8" s="1134"/>
      <c r="P8" s="3248" t="s">
        <v>2533</v>
      </c>
      <c r="Q8" s="3247"/>
      <c r="R8" s="769" t="s">
        <v>23</v>
      </c>
      <c r="S8" s="770">
        <f t="shared" si="0"/>
        <v>100</v>
      </c>
      <c r="T8" s="769" t="s">
        <v>23</v>
      </c>
      <c r="U8" s="770">
        <f t="shared" si="1"/>
        <v>100</v>
      </c>
      <c r="V8" s="769" t="s">
        <v>23</v>
      </c>
      <c r="W8" s="770">
        <f t="shared" si="2"/>
        <v>100</v>
      </c>
      <c r="X8" s="771"/>
      <c r="Y8" s="3248" t="s">
        <v>2533</v>
      </c>
      <c r="Z8" s="3247"/>
      <c r="AA8" s="772">
        <f t="shared" ref="AA8:AA19" si="3">D8/F8</f>
        <v>1</v>
      </c>
      <c r="AB8" s="772">
        <f t="shared" ref="AB8:AB19" si="4">D8/H8</f>
        <v>1</v>
      </c>
      <c r="AC8" s="772">
        <f t="shared" ref="AC8:AC19" si="5">D8/J8</f>
        <v>1</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6"/>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06"/>
      <c r="Q11" s="1797" t="str">
        <f t="shared" si="6"/>
        <v>容积率</v>
      </c>
      <c r="R11" s="769" t="s">
        <v>21</v>
      </c>
      <c r="S11" s="770">
        <f t="shared" si="0"/>
        <v>100</v>
      </c>
      <c r="T11" s="769" t="s">
        <v>21</v>
      </c>
      <c r="U11" s="770">
        <f t="shared" si="1"/>
        <v>100</v>
      </c>
      <c r="V11" s="769" t="s">
        <v>21</v>
      </c>
      <c r="W11" s="770">
        <f t="shared" si="2"/>
        <v>100</v>
      </c>
      <c r="X11" s="771"/>
      <c r="Y11" s="3060"/>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6"/>
      <c r="Q12" s="1797">
        <f t="shared" si="6"/>
        <v>111</v>
      </c>
      <c r="R12" s="769" t="s">
        <v>21</v>
      </c>
      <c r="S12" s="770">
        <f t="shared" si="0"/>
        <v>100</v>
      </c>
      <c r="T12" s="769" t="s">
        <v>21</v>
      </c>
      <c r="U12" s="770">
        <f t="shared" si="1"/>
        <v>100</v>
      </c>
      <c r="V12" s="769" t="s">
        <v>21</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6"/>
      <c r="Q13" s="1797">
        <f t="shared" si="6"/>
        <v>111</v>
      </c>
      <c r="R13" s="769" t="s">
        <v>21</v>
      </c>
      <c r="S13" s="770">
        <f t="shared" si="0"/>
        <v>100</v>
      </c>
      <c r="T13" s="769" t="s">
        <v>21</v>
      </c>
      <c r="U13" s="770">
        <f t="shared" si="1"/>
        <v>100</v>
      </c>
      <c r="V13" s="769" t="s">
        <v>21</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6"/>
      <c r="Q14" s="1797">
        <f t="shared" si="6"/>
        <v>111</v>
      </c>
      <c r="R14" s="769" t="s">
        <v>21</v>
      </c>
      <c r="S14" s="770">
        <f t="shared" si="0"/>
        <v>100</v>
      </c>
      <c r="T14" s="769" t="s">
        <v>21</v>
      </c>
      <c r="U14" s="770">
        <f t="shared" si="1"/>
        <v>100</v>
      </c>
      <c r="V14" s="769" t="s">
        <v>21</v>
      </c>
      <c r="W14" s="770">
        <f t="shared" si="2"/>
        <v>100</v>
      </c>
      <c r="X14" s="771"/>
      <c r="Y14" s="3060"/>
      <c r="Z14" s="55">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2" t="s">
        <v>2541</v>
      </c>
      <c r="Q15" s="1812" t="str">
        <f t="shared" si="6"/>
        <v>居住社区成熟度</v>
      </c>
      <c r="R15" s="773" t="s">
        <v>21</v>
      </c>
      <c r="S15" s="774">
        <f t="shared" si="0"/>
        <v>100</v>
      </c>
      <c r="T15" s="773" t="s">
        <v>21</v>
      </c>
      <c r="U15" s="774">
        <f t="shared" si="1"/>
        <v>100</v>
      </c>
      <c r="V15" s="773" t="s">
        <v>21</v>
      </c>
      <c r="W15" s="774">
        <f t="shared" si="2"/>
        <v>100</v>
      </c>
      <c r="X15" s="1815"/>
      <c r="Y15" s="3214" t="s">
        <v>2541</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13"/>
      <c r="Q16" s="1812"/>
      <c r="R16" s="773"/>
      <c r="S16" s="774"/>
      <c r="T16" s="773"/>
      <c r="U16" s="774"/>
      <c r="V16" s="773"/>
      <c r="W16" s="774"/>
      <c r="X16" s="1815"/>
      <c r="Y16" s="3215"/>
      <c r="Z16" s="1816"/>
      <c r="AA16" s="1813">
        <v>1</v>
      </c>
      <c r="AB16" s="1813">
        <v>1</v>
      </c>
      <c r="AC16" s="1813">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3"/>
      <c r="Q17" s="1812" t="str">
        <f>B17</f>
        <v>交通便捷度</v>
      </c>
      <c r="R17" s="773" t="s">
        <v>21</v>
      </c>
      <c r="S17" s="774">
        <f>F17</f>
        <v>100</v>
      </c>
      <c r="T17" s="773" t="s">
        <v>21</v>
      </c>
      <c r="U17" s="774">
        <f>H17</f>
        <v>100</v>
      </c>
      <c r="V17" s="773" t="s">
        <v>21</v>
      </c>
      <c r="W17" s="774">
        <f>J17</f>
        <v>100</v>
      </c>
      <c r="X17" s="1815"/>
      <c r="Y17" s="3215"/>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13"/>
      <c r="Q18" s="1812"/>
      <c r="R18" s="773"/>
      <c r="S18" s="774"/>
      <c r="T18" s="773"/>
      <c r="U18" s="774"/>
      <c r="V18" s="773"/>
      <c r="W18" s="774"/>
      <c r="X18" s="1815"/>
      <c r="Y18" s="3215"/>
      <c r="Z18" s="1816"/>
      <c r="AA18" s="1813">
        <v>1</v>
      </c>
      <c r="AB18" s="1813">
        <v>1</v>
      </c>
      <c r="AC18" s="1813">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3"/>
      <c r="Q19" s="1812" t="str">
        <f>B19</f>
        <v>公共配套设施</v>
      </c>
      <c r="R19" s="773" t="s">
        <v>21</v>
      </c>
      <c r="S19" s="774">
        <f>F19</f>
        <v>100</v>
      </c>
      <c r="T19" s="773" t="s">
        <v>21</v>
      </c>
      <c r="U19" s="774">
        <f>H19</f>
        <v>100</v>
      </c>
      <c r="V19" s="773" t="s">
        <v>21</v>
      </c>
      <c r="W19" s="774">
        <f>J19</f>
        <v>100</v>
      </c>
      <c r="X19" s="1815"/>
      <c r="Y19" s="3215"/>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13"/>
      <c r="Q20" s="1812"/>
      <c r="R20" s="773"/>
      <c r="S20" s="774"/>
      <c r="T20" s="773"/>
      <c r="U20" s="774"/>
      <c r="V20" s="773"/>
      <c r="W20" s="774"/>
      <c r="X20" s="1815"/>
      <c r="Y20" s="3215"/>
      <c r="Z20" s="1816"/>
      <c r="AA20" s="1813">
        <v>1</v>
      </c>
      <c r="AB20" s="1813">
        <v>1</v>
      </c>
      <c r="AC20" s="1813">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13"/>
      <c r="Q22" s="1812"/>
      <c r="R22" s="773"/>
      <c r="S22" s="774"/>
      <c r="T22" s="773"/>
      <c r="U22" s="774"/>
      <c r="V22" s="773"/>
      <c r="W22" s="774"/>
      <c r="X22" s="1815"/>
      <c r="Y22" s="3215"/>
      <c r="Z22" s="1816"/>
      <c r="AA22" s="1813">
        <v>1</v>
      </c>
      <c r="AB22" s="1813">
        <v>1</v>
      </c>
      <c r="AC22" s="1813">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3"/>
      <c r="Q23" s="1812" t="str">
        <f>B23</f>
        <v>自然及人文环境</v>
      </c>
      <c r="R23" s="773" t="s">
        <v>21</v>
      </c>
      <c r="S23" s="774">
        <f>F23</f>
        <v>100</v>
      </c>
      <c r="T23" s="773" t="s">
        <v>21</v>
      </c>
      <c r="U23" s="774">
        <f>H23</f>
        <v>100</v>
      </c>
      <c r="V23" s="773" t="s">
        <v>21</v>
      </c>
      <c r="W23" s="774">
        <f>J23</f>
        <v>100</v>
      </c>
      <c r="X23" s="1815"/>
      <c r="Y23" s="3215"/>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13"/>
      <c r="Q24" s="1812"/>
      <c r="R24" s="773"/>
      <c r="S24" s="774"/>
      <c r="T24" s="773"/>
      <c r="U24" s="774"/>
      <c r="V24" s="773"/>
      <c r="W24" s="774"/>
      <c r="X24" s="1815"/>
      <c r="Y24" s="3215"/>
      <c r="Z24" s="1816"/>
      <c r="AA24" s="1813">
        <v>1</v>
      </c>
      <c r="AB24" s="1813">
        <v>1</v>
      </c>
      <c r="AC24" s="1813">
        <v>1</v>
      </c>
    </row>
    <row r="25" spans="1:29" ht="15">
      <c r="A25" s="428"/>
      <c r="B25" s="422"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1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5"/>
      <c r="Z25" s="1816" t="str">
        <f>Q25</f>
        <v>楼层-1</v>
      </c>
      <c r="AA25" s="1813">
        <f t="shared" ref="AA25:AA46" si="15">D25/F25</f>
        <v>1</v>
      </c>
      <c r="AB25" s="1813">
        <f t="shared" ref="AB25:AB46" si="16">D25/H25</f>
        <v>1</v>
      </c>
      <c r="AC25" s="1813">
        <f t="shared" ref="AC25:AC46" si="17">D25/J25</f>
        <v>1</v>
      </c>
    </row>
    <row r="26" spans="1:29" ht="15">
      <c r="A26" s="428"/>
      <c r="B26" s="422"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13"/>
      <c r="Q26" s="1812" t="str">
        <f t="shared" si="11"/>
        <v>朝向</v>
      </c>
      <c r="R26" s="773" t="s">
        <v>21</v>
      </c>
      <c r="S26" s="774">
        <f t="shared" si="12"/>
        <v>100</v>
      </c>
      <c r="T26" s="773" t="s">
        <v>21</v>
      </c>
      <c r="U26" s="774">
        <f t="shared" si="13"/>
        <v>100</v>
      </c>
      <c r="V26" s="773" t="s">
        <v>21</v>
      </c>
      <c r="W26" s="774">
        <f t="shared" si="14"/>
        <v>100</v>
      </c>
      <c r="X26" s="1815"/>
      <c r="Y26" s="3215"/>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13"/>
      <c r="Q27" s="1797">
        <f t="shared" si="11"/>
        <v>111</v>
      </c>
      <c r="R27" s="769" t="s">
        <v>21</v>
      </c>
      <c r="S27" s="770">
        <f t="shared" si="12"/>
        <v>100</v>
      </c>
      <c r="T27" s="769" t="s">
        <v>21</v>
      </c>
      <c r="U27" s="770">
        <f t="shared" si="13"/>
        <v>100</v>
      </c>
      <c r="V27" s="769" t="s">
        <v>21</v>
      </c>
      <c r="W27" s="770">
        <f t="shared" si="14"/>
        <v>100</v>
      </c>
      <c r="X27" s="771"/>
      <c r="Y27" s="3215"/>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13"/>
      <c r="Q28" s="1812">
        <f t="shared" si="11"/>
        <v>111</v>
      </c>
      <c r="R28" s="773" t="s">
        <v>21</v>
      </c>
      <c r="S28" s="774">
        <f t="shared" si="12"/>
        <v>100</v>
      </c>
      <c r="T28" s="773" t="s">
        <v>21</v>
      </c>
      <c r="U28" s="774">
        <f t="shared" si="13"/>
        <v>100</v>
      </c>
      <c r="V28" s="773" t="s">
        <v>21</v>
      </c>
      <c r="W28" s="774">
        <f t="shared" si="14"/>
        <v>100</v>
      </c>
      <c r="X28" s="1815"/>
      <c r="Y28" s="3215"/>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13"/>
      <c r="Q29" s="1812">
        <f t="shared" si="11"/>
        <v>111</v>
      </c>
      <c r="R29" s="773" t="s">
        <v>21</v>
      </c>
      <c r="S29" s="774">
        <f t="shared" si="12"/>
        <v>100</v>
      </c>
      <c r="T29" s="773" t="s">
        <v>21</v>
      </c>
      <c r="U29" s="774">
        <f t="shared" si="13"/>
        <v>100</v>
      </c>
      <c r="V29" s="773" t="s">
        <v>21</v>
      </c>
      <c r="W29" s="774">
        <f t="shared" si="14"/>
        <v>100</v>
      </c>
      <c r="X29" s="1815"/>
      <c r="Y29" s="3215"/>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13"/>
      <c r="Q30" s="1812">
        <f t="shared" si="11"/>
        <v>111</v>
      </c>
      <c r="R30" s="773" t="s">
        <v>21</v>
      </c>
      <c r="S30" s="774">
        <f t="shared" si="12"/>
        <v>100</v>
      </c>
      <c r="T30" s="773" t="s">
        <v>21</v>
      </c>
      <c r="U30" s="774">
        <f t="shared" si="13"/>
        <v>100</v>
      </c>
      <c r="V30" s="773" t="s">
        <v>21</v>
      </c>
      <c r="W30" s="774">
        <f t="shared" si="14"/>
        <v>100</v>
      </c>
      <c r="X30" s="1815"/>
      <c r="Y30" s="3215"/>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13"/>
      <c r="Q31" s="1812">
        <f t="shared" si="11"/>
        <v>111</v>
      </c>
      <c r="R31" s="773" t="s">
        <v>21</v>
      </c>
      <c r="S31" s="774">
        <f t="shared" si="12"/>
        <v>100</v>
      </c>
      <c r="T31" s="773" t="s">
        <v>21</v>
      </c>
      <c r="U31" s="774">
        <f t="shared" si="13"/>
        <v>100</v>
      </c>
      <c r="V31" s="773" t="s">
        <v>21</v>
      </c>
      <c r="W31" s="774">
        <f t="shared" si="14"/>
        <v>100</v>
      </c>
      <c r="X31" s="1815"/>
      <c r="Y31" s="3215"/>
      <c r="Z31" s="1816">
        <f t="shared" si="18"/>
        <v>111</v>
      </c>
      <c r="AA31" s="1813">
        <f t="shared" si="15"/>
        <v>1</v>
      </c>
      <c r="AB31" s="1813">
        <f t="shared" si="16"/>
        <v>1</v>
      </c>
      <c r="AC31" s="1813">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6" t="s">
        <v>2546</v>
      </c>
      <c r="Q32" s="1812" t="str">
        <f t="shared" si="11"/>
        <v>建筑类型</v>
      </c>
      <c r="R32" s="773" t="s">
        <v>21</v>
      </c>
      <c r="S32" s="774">
        <f t="shared" si="12"/>
        <v>100</v>
      </c>
      <c r="T32" s="773" t="s">
        <v>21</v>
      </c>
      <c r="U32" s="774">
        <f t="shared" si="13"/>
        <v>100</v>
      </c>
      <c r="V32" s="773" t="s">
        <v>21</v>
      </c>
      <c r="W32" s="774">
        <f t="shared" si="14"/>
        <v>100</v>
      </c>
      <c r="X32" s="1815"/>
      <c r="Y32" s="3219" t="s">
        <v>2546</v>
      </c>
      <c r="Z32" s="1816" t="str">
        <f t="shared" si="18"/>
        <v>建筑类型</v>
      </c>
      <c r="AA32" s="1813">
        <f t="shared" si="15"/>
        <v>1</v>
      </c>
      <c r="AB32" s="1813">
        <f t="shared" si="16"/>
        <v>1</v>
      </c>
      <c r="AC32" s="1813">
        <f t="shared" si="17"/>
        <v>1</v>
      </c>
    </row>
    <row r="33" spans="1:29" s="471" customFormat="1" ht="15">
      <c r="A33" s="468"/>
      <c r="B33" s="422" t="s">
        <v>2547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17"/>
      <c r="Q33" s="775" t="str">
        <f t="shared" si="11"/>
        <v>项目建筑规模</v>
      </c>
      <c r="R33" s="776" t="s">
        <v>21</v>
      </c>
      <c r="S33" s="777">
        <f t="shared" si="12"/>
        <v>100</v>
      </c>
      <c r="T33" s="776" t="s">
        <v>21</v>
      </c>
      <c r="U33" s="777">
        <f t="shared" si="13"/>
        <v>100</v>
      </c>
      <c r="V33" s="776" t="s">
        <v>21</v>
      </c>
      <c r="W33" s="777">
        <f t="shared" si="14"/>
        <v>100</v>
      </c>
      <c r="X33" s="778"/>
      <c r="Y33" s="3219"/>
      <c r="Z33" s="779" t="str">
        <f t="shared" si="18"/>
        <v>项目建筑规模</v>
      </c>
      <c r="AA33" s="1813">
        <f t="shared" si="15"/>
        <v>1</v>
      </c>
      <c r="AB33" s="1813">
        <f t="shared" si="16"/>
        <v>1</v>
      </c>
      <c r="AC33" s="1813">
        <f t="shared" si="17"/>
        <v>1</v>
      </c>
    </row>
    <row r="34" spans="1:29" ht="15">
      <c r="A34" s="472"/>
      <c r="B34" s="422"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7"/>
      <c r="Q34" s="1812" t="str">
        <f t="shared" si="11"/>
        <v>建筑结构</v>
      </c>
      <c r="R34" s="773" t="s">
        <v>21</v>
      </c>
      <c r="S34" s="774">
        <f t="shared" si="12"/>
        <v>100</v>
      </c>
      <c r="T34" s="773" t="s">
        <v>21</v>
      </c>
      <c r="U34" s="774">
        <f t="shared" si="13"/>
        <v>100</v>
      </c>
      <c r="V34" s="773" t="s">
        <v>21</v>
      </c>
      <c r="W34" s="774">
        <f t="shared" si="14"/>
        <v>100</v>
      </c>
      <c r="X34" s="1815"/>
      <c r="Y34" s="3219"/>
      <c r="Z34" s="1816" t="str">
        <f t="shared" si="18"/>
        <v>建筑结构</v>
      </c>
      <c r="AA34" s="1813">
        <f t="shared" si="15"/>
        <v>1</v>
      </c>
      <c r="AB34" s="1813">
        <f t="shared" si="16"/>
        <v>1</v>
      </c>
      <c r="AC34" s="1813">
        <f t="shared" si="17"/>
        <v>1</v>
      </c>
    </row>
    <row r="35" spans="1:29" ht="15">
      <c r="A35" s="472"/>
      <c r="B35" s="422"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7"/>
      <c r="Q35" s="1812" t="str">
        <f t="shared" si="11"/>
        <v>建筑品质</v>
      </c>
      <c r="R35" s="773" t="s">
        <v>21</v>
      </c>
      <c r="S35" s="774">
        <f t="shared" si="12"/>
        <v>100</v>
      </c>
      <c r="T35" s="773" t="s">
        <v>21</v>
      </c>
      <c r="U35" s="774">
        <f t="shared" si="13"/>
        <v>100</v>
      </c>
      <c r="V35" s="773" t="s">
        <v>21</v>
      </c>
      <c r="W35" s="774">
        <f t="shared" si="14"/>
        <v>100</v>
      </c>
      <c r="X35" s="1815"/>
      <c r="Y35" s="3219"/>
      <c r="Z35" s="1816" t="str">
        <f t="shared" si="18"/>
        <v>建筑品质</v>
      </c>
      <c r="AA35" s="1813">
        <f t="shared" si="15"/>
        <v>1</v>
      </c>
      <c r="AB35" s="1813">
        <f t="shared" si="16"/>
        <v>1</v>
      </c>
      <c r="AC35" s="1813">
        <f t="shared" si="17"/>
        <v>1</v>
      </c>
    </row>
    <row r="36" spans="1:29" ht="15">
      <c r="A36" s="472"/>
      <c r="B36" s="422"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7"/>
      <c r="Q36" s="1812" t="str">
        <f t="shared" si="11"/>
        <v>公共部分装修</v>
      </c>
      <c r="R36" s="773" t="s">
        <v>21</v>
      </c>
      <c r="S36" s="774">
        <f t="shared" si="12"/>
        <v>100</v>
      </c>
      <c r="T36" s="773" t="s">
        <v>21</v>
      </c>
      <c r="U36" s="774">
        <f t="shared" si="13"/>
        <v>100</v>
      </c>
      <c r="V36" s="773" t="s">
        <v>21</v>
      </c>
      <c r="W36" s="774">
        <f t="shared" si="14"/>
        <v>100</v>
      </c>
      <c r="X36" s="1815"/>
      <c r="Y36" s="3219"/>
      <c r="Z36" s="1816" t="str">
        <f t="shared" si="18"/>
        <v>公共部分装修</v>
      </c>
      <c r="AA36" s="1813">
        <f t="shared" si="15"/>
        <v>1</v>
      </c>
      <c r="AB36" s="1813">
        <f t="shared" si="16"/>
        <v>1</v>
      </c>
      <c r="AC36" s="1813">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7"/>
      <c r="Q37" s="1797" t="str">
        <f t="shared" si="11"/>
        <v>成新度</v>
      </c>
      <c r="R37" s="769" t="s">
        <v>21</v>
      </c>
      <c r="S37" s="770" t="e">
        <f t="shared" si="12"/>
        <v>#N/A</v>
      </c>
      <c r="T37" s="769" t="s">
        <v>21</v>
      </c>
      <c r="U37" s="770" t="e">
        <f t="shared" si="13"/>
        <v>#N/A</v>
      </c>
      <c r="V37" s="769" t="s">
        <v>21</v>
      </c>
      <c r="W37" s="770" t="e">
        <f t="shared" si="14"/>
        <v>#N/A</v>
      </c>
      <c r="X37" s="771"/>
      <c r="Y37" s="3219"/>
      <c r="Z37" s="55" t="str">
        <f t="shared" si="18"/>
        <v>成新度</v>
      </c>
      <c r="AA37" s="772" t="e">
        <f t="shared" si="15"/>
        <v>#N/A</v>
      </c>
      <c r="AB37" s="772" t="e">
        <f t="shared" si="16"/>
        <v>#N/A</v>
      </c>
      <c r="AC37" s="772" t="e">
        <f t="shared" si="17"/>
        <v>#N/A</v>
      </c>
    </row>
    <row r="38" spans="1:29" ht="15">
      <c r="A38" s="472"/>
      <c r="B38" s="422"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7" t="s">
        <v>2546</v>
      </c>
      <c r="Q38" s="1812" t="str">
        <f t="shared" si="11"/>
        <v>物业管理</v>
      </c>
      <c r="R38" s="773" t="s">
        <v>21</v>
      </c>
      <c r="S38" s="774">
        <f t="shared" si="12"/>
        <v>100</v>
      </c>
      <c r="T38" s="773" t="s">
        <v>21</v>
      </c>
      <c r="U38" s="774">
        <f t="shared" si="13"/>
        <v>100</v>
      </c>
      <c r="V38" s="773" t="s">
        <v>21</v>
      </c>
      <c r="W38" s="774">
        <f t="shared" si="14"/>
        <v>100</v>
      </c>
      <c r="X38" s="1815"/>
      <c r="Y38" s="3219" t="s">
        <v>2546</v>
      </c>
      <c r="Z38" s="1816" t="str">
        <f t="shared" si="18"/>
        <v>物业管理</v>
      </c>
      <c r="AA38" s="1813">
        <f t="shared" si="15"/>
        <v>1</v>
      </c>
      <c r="AB38" s="1813">
        <f t="shared" si="16"/>
        <v>1</v>
      </c>
      <c r="AC38" s="1813">
        <f t="shared" si="17"/>
        <v>1</v>
      </c>
    </row>
    <row r="39" spans="1:29" ht="15">
      <c r="A39" s="472"/>
      <c r="B39" s="422"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7"/>
      <c r="Q39" s="1812" t="str">
        <f t="shared" si="11"/>
        <v>市政基础设施</v>
      </c>
      <c r="R39" s="773" t="s">
        <v>21</v>
      </c>
      <c r="S39" s="774">
        <f t="shared" si="12"/>
        <v>100</v>
      </c>
      <c r="T39" s="773" t="s">
        <v>21</v>
      </c>
      <c r="U39" s="774">
        <f t="shared" si="13"/>
        <v>100</v>
      </c>
      <c r="V39" s="773" t="s">
        <v>21</v>
      </c>
      <c r="W39" s="774">
        <f t="shared" si="14"/>
        <v>100</v>
      </c>
      <c r="X39" s="1815"/>
      <c r="Y39" s="3219"/>
      <c r="Z39" s="1816" t="str">
        <f t="shared" si="18"/>
        <v>市政基础设施</v>
      </c>
      <c r="AA39" s="1813">
        <f t="shared" si="15"/>
        <v>1</v>
      </c>
      <c r="AB39" s="1813">
        <f t="shared" si="16"/>
        <v>1</v>
      </c>
      <c r="AC39" s="1813">
        <f t="shared" si="17"/>
        <v>1</v>
      </c>
    </row>
    <row r="40" spans="1:29" ht="15">
      <c r="A40" s="472"/>
      <c r="B40" s="422"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7"/>
      <c r="Q40" s="1812" t="str">
        <f t="shared" si="11"/>
        <v>房型</v>
      </c>
      <c r="R40" s="773" t="s">
        <v>21</v>
      </c>
      <c r="S40" s="774">
        <f t="shared" si="12"/>
        <v>100</v>
      </c>
      <c r="T40" s="773" t="s">
        <v>21</v>
      </c>
      <c r="U40" s="774">
        <f t="shared" si="13"/>
        <v>100</v>
      </c>
      <c r="V40" s="773" t="s">
        <v>21</v>
      </c>
      <c r="W40" s="774">
        <f t="shared" si="14"/>
        <v>100</v>
      </c>
      <c r="X40" s="1815"/>
      <c r="Y40" s="3219"/>
      <c r="Z40" s="1816" t="str">
        <f t="shared" si="18"/>
        <v>房型</v>
      </c>
      <c r="AA40" s="1813">
        <f t="shared" si="15"/>
        <v>1</v>
      </c>
      <c r="AB40" s="1813">
        <f t="shared" si="16"/>
        <v>1</v>
      </c>
      <c r="AC40" s="1813">
        <f t="shared" si="17"/>
        <v>1</v>
      </c>
    </row>
    <row r="41" spans="1:29" s="471" customFormat="1" ht="28.5">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1813">
        <f t="shared" si="15"/>
        <v>1</v>
      </c>
      <c r="AB41" s="1813">
        <f t="shared" si="16"/>
        <v>1</v>
      </c>
      <c r="AC41" s="1813">
        <f t="shared" si="17"/>
        <v>1</v>
      </c>
    </row>
    <row r="42" spans="1:29" ht="15">
      <c r="A42" s="472"/>
      <c r="B42" s="422"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7"/>
      <c r="Q42" s="1812" t="str">
        <f t="shared" si="11"/>
        <v>内部装修</v>
      </c>
      <c r="R42" s="773" t="s">
        <v>21</v>
      </c>
      <c r="S42" s="774">
        <f t="shared" si="12"/>
        <v>100</v>
      </c>
      <c r="T42" s="773" t="s">
        <v>21</v>
      </c>
      <c r="U42" s="774">
        <f t="shared" si="13"/>
        <v>100</v>
      </c>
      <c r="V42" s="773" t="s">
        <v>21</v>
      </c>
      <c r="W42" s="774">
        <f t="shared" si="14"/>
        <v>100</v>
      </c>
      <c r="X42" s="1815"/>
      <c r="Y42" s="3219"/>
      <c r="Z42" s="1816" t="str">
        <f t="shared" si="18"/>
        <v>内部装修</v>
      </c>
      <c r="AA42" s="1813">
        <f t="shared" si="15"/>
        <v>1</v>
      </c>
      <c r="AB42" s="1813">
        <f t="shared" si="16"/>
        <v>1</v>
      </c>
      <c r="AC42" s="1813">
        <f t="shared" si="17"/>
        <v>1</v>
      </c>
    </row>
    <row r="43" spans="1:29" ht="15">
      <c r="A43" s="472"/>
      <c r="B43" s="422"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7"/>
      <c r="Q43" s="1812" t="str">
        <f t="shared" si="11"/>
        <v>内部装修维护情况</v>
      </c>
      <c r="R43" s="773" t="s">
        <v>21</v>
      </c>
      <c r="S43" s="774">
        <f t="shared" si="12"/>
        <v>100</v>
      </c>
      <c r="T43" s="773" t="s">
        <v>21</v>
      </c>
      <c r="U43" s="774">
        <f t="shared" si="13"/>
        <v>100</v>
      </c>
      <c r="V43" s="773" t="s">
        <v>21</v>
      </c>
      <c r="W43" s="774">
        <f t="shared" si="14"/>
        <v>100</v>
      </c>
      <c r="X43" s="1815"/>
      <c r="Y43" s="3219"/>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7"/>
      <c r="Q44" s="1797">
        <f t="shared" si="11"/>
        <v>111</v>
      </c>
      <c r="R44" s="769" t="s">
        <v>21</v>
      </c>
      <c r="S44" s="770">
        <f t="shared" si="12"/>
        <v>100</v>
      </c>
      <c r="T44" s="769" t="s">
        <v>21</v>
      </c>
      <c r="U44" s="770">
        <f t="shared" si="13"/>
        <v>100</v>
      </c>
      <c r="V44" s="769" t="s">
        <v>21</v>
      </c>
      <c r="W44" s="770">
        <f t="shared" si="14"/>
        <v>100</v>
      </c>
      <c r="X44" s="771"/>
      <c r="Y44" s="3219"/>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7"/>
      <c r="Q45" s="1812">
        <f t="shared" si="11"/>
        <v>111</v>
      </c>
      <c r="R45" s="773" t="s">
        <v>21</v>
      </c>
      <c r="S45" s="774">
        <f t="shared" si="12"/>
        <v>100</v>
      </c>
      <c r="T45" s="773" t="s">
        <v>21</v>
      </c>
      <c r="U45" s="774">
        <f t="shared" si="13"/>
        <v>100</v>
      </c>
      <c r="V45" s="773" t="s">
        <v>21</v>
      </c>
      <c r="W45" s="774">
        <f t="shared" si="14"/>
        <v>100</v>
      </c>
      <c r="X45" s="1815"/>
      <c r="Y45" s="3219"/>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8"/>
      <c r="Q46" s="1812">
        <f t="shared" si="11"/>
        <v>111</v>
      </c>
      <c r="R46" s="773" t="s">
        <v>20</v>
      </c>
      <c r="S46" s="774">
        <f t="shared" si="12"/>
        <v>100</v>
      </c>
      <c r="T46" s="773" t="s">
        <v>20</v>
      </c>
      <c r="U46" s="774">
        <f t="shared" si="13"/>
        <v>100</v>
      </c>
      <c r="V46" s="773" t="s">
        <v>20</v>
      </c>
      <c r="W46" s="774">
        <f t="shared" si="14"/>
        <v>100</v>
      </c>
      <c r="X46" s="1815"/>
      <c r="Y46" s="3220"/>
      <c r="Z46" s="1816">
        <f t="shared" si="18"/>
        <v>111</v>
      </c>
      <c r="AA46" s="1813">
        <f t="shared" si="15"/>
        <v>1</v>
      </c>
      <c r="AB46" s="1813">
        <f t="shared" si="16"/>
        <v>1</v>
      </c>
      <c r="AC46" s="1813">
        <f t="shared" si="17"/>
        <v>1</v>
      </c>
    </row>
    <row r="47" spans="1:29" ht="15">
      <c r="A47" s="479" t="s">
        <v>2558</v>
      </c>
      <c r="B47" s="480"/>
      <c r="C47" s="1408" t="s">
        <v>19</v>
      </c>
      <c r="D47" s="1409"/>
      <c r="E47" s="1410"/>
      <c r="F47" s="1411"/>
      <c r="G47" s="1412"/>
      <c r="H47" s="1413"/>
      <c r="I47" s="1410"/>
      <c r="J47" s="1413"/>
      <c r="K47" s="2618"/>
      <c r="L47" s="1144"/>
      <c r="M47" s="1145"/>
      <c r="N47" s="1132"/>
      <c r="O47" s="1145"/>
      <c r="P47" s="3207" t="str">
        <f>A47</f>
        <v>成交单价（元/平方米）</v>
      </c>
      <c r="Q47" s="3207"/>
      <c r="R47" s="3208">
        <f>E47</f>
        <v>0</v>
      </c>
      <c r="S47" s="3208"/>
      <c r="T47" s="3208">
        <f>G47</f>
        <v>0</v>
      </c>
      <c r="U47" s="3208"/>
      <c r="V47" s="3208">
        <f>I47</f>
        <v>0</v>
      </c>
      <c r="W47" s="3208"/>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t="s">
        <v>3030</v>
      </c>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f ca="1">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2507</v>
      </c>
      <c r="B1" s="2559"/>
      <c r="C1" s="2559"/>
      <c r="D1" s="2559"/>
      <c r="E1" s="2560"/>
    </row>
    <row r="2" spans="1:6" ht="15.75">
      <c r="A2" s="2561" t="s">
        <v>2308</v>
      </c>
      <c r="B2" s="2562">
        <f ca="1">SUMIF(B6:B13,"&lt;&gt;#ref!",B6:B13)</f>
        <v>801</v>
      </c>
      <c r="C2" s="2563" t="s">
        <v>2500</v>
      </c>
      <c r="D2" s="2564" t="s">
        <v>2501</v>
      </c>
      <c r="E2" s="2565">
        <f>SUM(E6:E13)</f>
        <v>2282.61</v>
      </c>
    </row>
    <row r="3" spans="1:6" ht="15.75">
      <c r="A3" s="2561" t="s">
        <v>1392</v>
      </c>
      <c r="B3" s="2562">
        <f ca="1">ROUND(B2*10000/E2,0)</f>
        <v>3509</v>
      </c>
      <c r="C3" s="2563" t="s">
        <v>2508</v>
      </c>
      <c r="D3" s="2566"/>
      <c r="E3" s="2567"/>
    </row>
    <row r="4" spans="1:6" ht="15.75">
      <c r="A4" s="2568"/>
      <c r="B4" s="2566"/>
      <c r="C4" s="2566"/>
      <c r="D4" s="2566"/>
      <c r="E4" s="2567"/>
    </row>
    <row r="5" spans="1:6" ht="15">
      <c r="A5" s="2569" t="s">
        <v>2502</v>
      </c>
      <c r="B5" s="3285" t="s">
        <v>2503</v>
      </c>
      <c r="C5" s="3285"/>
      <c r="D5" s="2570"/>
      <c r="E5" s="2571" t="s">
        <v>2504</v>
      </c>
      <c r="F5" s="2572" t="s">
        <v>2505</v>
      </c>
    </row>
    <row r="6" spans="1:6">
      <c r="A6" s="2573" t="str">
        <f>'数据-取费表'!AN6</f>
        <v>收益法（办公）</v>
      </c>
      <c r="B6" s="2572">
        <f ca="1">IF(F6="是",'数据-取费表'!AO6,0)</f>
        <v>801</v>
      </c>
      <c r="C6" s="2563" t="s">
        <v>2500</v>
      </c>
      <c r="D6" s="2566"/>
      <c r="E6" s="2574">
        <f>IF(OR(A6=0,F6="否"),0,'数据-取费表'!K6+'数据-取费表'!S6)</f>
        <v>2282.61</v>
      </c>
      <c r="F6" s="2575" t="s">
        <v>2506</v>
      </c>
    </row>
    <row r="7" spans="1:6">
      <c r="A7" s="2573">
        <f>'数据-取费表'!AN7</f>
        <v>0</v>
      </c>
      <c r="B7" s="2572" t="e">
        <f ca="1">IF(F7="是",'数据-取费表'!AO7,0)</f>
        <v>#REF!</v>
      </c>
      <c r="C7" s="2563" t="s">
        <v>2500</v>
      </c>
      <c r="D7" s="2566"/>
      <c r="E7" s="2574">
        <f>IF(OR(A7=0,F7="否"),0,'数据-取费表'!K7+'数据-取费表'!S7)</f>
        <v>0</v>
      </c>
      <c r="F7" s="2575" t="s">
        <v>2506</v>
      </c>
    </row>
    <row r="8" spans="1:6">
      <c r="A8" s="2573">
        <f>'数据-取费表'!AN8</f>
        <v>0</v>
      </c>
      <c r="B8" s="2572" t="e">
        <f ca="1">IF(F8="是",'数据-取费表'!AO8,0)</f>
        <v>#REF!</v>
      </c>
      <c r="C8" s="2563" t="s">
        <v>2500</v>
      </c>
      <c r="D8" s="2566"/>
      <c r="E8" s="2574">
        <f>IF(OR(A8=0,F8="否"),0,'数据-取费表'!K8+'数据-取费表'!S8)</f>
        <v>0</v>
      </c>
      <c r="F8" s="2575" t="s">
        <v>2506</v>
      </c>
    </row>
    <row r="9" spans="1:6">
      <c r="A9" s="2573">
        <f>'数据-取费表'!AN9</f>
        <v>0</v>
      </c>
      <c r="B9" s="2572" t="e">
        <f ca="1">IF(F9="是",'数据-取费表'!AO9,0)</f>
        <v>#REF!</v>
      </c>
      <c r="C9" s="2563" t="s">
        <v>2500</v>
      </c>
      <c r="D9" s="2566"/>
      <c r="E9" s="2574">
        <f>IF(OR(A9=0,F9="否"),0,'数据-取费表'!K9+'数据-取费表'!S9)</f>
        <v>0</v>
      </c>
      <c r="F9" s="2575" t="s">
        <v>2506</v>
      </c>
    </row>
    <row r="10" spans="1:6">
      <c r="A10" s="2573">
        <f>'数据-取费表'!AN10</f>
        <v>0</v>
      </c>
      <c r="B10" s="2572" t="e">
        <f ca="1">IF(F10="是",'数据-取费表'!AO10,0)</f>
        <v>#REF!</v>
      </c>
      <c r="C10" s="2563" t="s">
        <v>2500</v>
      </c>
      <c r="D10" s="2566"/>
      <c r="E10" s="2574">
        <f>IF(OR(A10=0,F10="否"),0,'数据-取费表'!K10+'数据-取费表'!S10)</f>
        <v>0</v>
      </c>
      <c r="F10" s="2575" t="s">
        <v>2506</v>
      </c>
    </row>
    <row r="11" spans="1:6">
      <c r="A11" s="2573">
        <f>'数据-取费表'!AN11</f>
        <v>0</v>
      </c>
      <c r="B11" s="2572" t="e">
        <f ca="1">IF(F11="是",'数据-取费表'!AO11,0)</f>
        <v>#REF!</v>
      </c>
      <c r="C11" s="2563" t="s">
        <v>2500</v>
      </c>
      <c r="D11" s="2566"/>
      <c r="E11" s="2574">
        <f>IF(OR(A11=0,F11="否"),0,'数据-取费表'!K11+'数据-取费表'!S11)</f>
        <v>0</v>
      </c>
      <c r="F11" s="2575" t="s">
        <v>2506</v>
      </c>
    </row>
    <row r="12" spans="1:6">
      <c r="A12" s="2573">
        <f>'数据-取费表'!AN12</f>
        <v>0</v>
      </c>
      <c r="B12" s="2572" t="e">
        <f ca="1">IF(F12="是",'数据-取费表'!AO12,0)</f>
        <v>#REF!</v>
      </c>
      <c r="C12" s="2563" t="s">
        <v>2500</v>
      </c>
      <c r="D12" s="2566"/>
      <c r="E12" s="2574">
        <f>IF(OR(A12=0,F12="否"),0,'数据-取费表'!K12+'数据-取费表'!S12)</f>
        <v>0</v>
      </c>
      <c r="F12" s="2575" t="s">
        <v>2506</v>
      </c>
    </row>
    <row r="13" spans="1:6" ht="15" thickBot="1">
      <c r="A13" s="2576">
        <f>'数据-取费表'!AN13</f>
        <v>0</v>
      </c>
      <c r="B13" s="2572" t="e">
        <f ca="1">IF(F13="是",'数据-取费表'!AO13,0)</f>
        <v>#REF!</v>
      </c>
      <c r="C13" s="2577" t="s">
        <v>2500</v>
      </c>
      <c r="D13" s="2578"/>
      <c r="E13" s="2574">
        <f>IF(OR(A13=0,F13="否"),0,'数据-取费表'!K13+'数据-取费表'!S13)</f>
        <v>0</v>
      </c>
      <c r="F13" s="2575"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受贵公司委托，我公司对新疆维吾尔自治区塔城市新城区伊宁路1-5层部分办公用房房地产市场价值进行了预评估。</v>
      </c>
    </row>
    <row r="5" spans="1:1" ht="18.75">
      <c r="A5" s="1951" t="s">
        <v>1610</v>
      </c>
    </row>
    <row r="6" spans="1:1" ht="18.75">
      <c r="A6" s="1952" t="s">
        <v>1611</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1" ht="57.75">
      <c r="A8" s="1953" t="s">
        <v>1612</v>
      </c>
    </row>
    <row r="9" spans="1:1" ht="18.75">
      <c r="A9" s="1952" t="s">
        <v>1613</v>
      </c>
    </row>
    <row r="10" spans="1:1" ht="72">
      <c r="A10" s="195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2017年11月30日（评估专业人员实地查勘之日）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"本次评估采用的主估价方法为"&amp;'结果表（商业）'!K4&amp;"和"&amp;'结果表（商业）'!L4&amp;"。"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302" t="s">
        <v>1075</v>
      </c>
      <c r="B1" s="3303"/>
      <c r="C1" s="3304"/>
      <c r="D1" s="3305">
        <f>SUM(I10,I15,I20,I21,I23)</f>
        <v>0</v>
      </c>
      <c r="E1" s="3305"/>
      <c r="F1" s="3305"/>
      <c r="G1" s="3305"/>
      <c r="H1" s="3305"/>
      <c r="I1" s="3306"/>
    </row>
    <row r="2" spans="1:9">
      <c r="A2" s="3292" t="s">
        <v>1076</v>
      </c>
      <c r="B2" s="3293" t="s">
        <v>1077</v>
      </c>
      <c r="C2" s="3293"/>
      <c r="D2" s="1302" t="s">
        <v>1078</v>
      </c>
      <c r="E2" s="1302" t="s">
        <v>1079</v>
      </c>
      <c r="F2" s="1302" t="s">
        <v>1080</v>
      </c>
      <c r="G2" s="1302" t="s">
        <v>1081</v>
      </c>
      <c r="H2" s="1302" t="s">
        <v>1082</v>
      </c>
      <c r="I2" s="1303" t="s">
        <v>1083</v>
      </c>
    </row>
    <row r="3" spans="1:9">
      <c r="A3" s="3292"/>
      <c r="B3" s="3293" t="s">
        <v>1084</v>
      </c>
      <c r="C3" s="3293"/>
      <c r="D3" s="1304"/>
      <c r="E3" s="1302"/>
      <c r="F3" s="1305"/>
      <c r="G3" s="1305"/>
      <c r="H3" s="1306"/>
      <c r="I3" s="1307">
        <f>ROUND(D3*E3*F3*G3*H3/10000,0)</f>
        <v>0</v>
      </c>
    </row>
    <row r="4" spans="1:9">
      <c r="A4" s="3292"/>
      <c r="B4" s="3293" t="s">
        <v>1085</v>
      </c>
      <c r="C4" s="3293"/>
      <c r="D4" s="1304"/>
      <c r="E4" s="1302"/>
      <c r="F4" s="1305"/>
      <c r="G4" s="1305"/>
      <c r="H4" s="1306"/>
      <c r="I4" s="1307">
        <f t="shared" ref="I4:I9" si="0">ROUND(D4*E4*F4*G4*H4/10000,0)</f>
        <v>0</v>
      </c>
    </row>
    <row r="5" spans="1:9">
      <c r="A5" s="3292"/>
      <c r="B5" s="3293" t="s">
        <v>1086</v>
      </c>
      <c r="C5" s="3293"/>
      <c r="D5" s="1304"/>
      <c r="E5" s="1302"/>
      <c r="F5" s="1305"/>
      <c r="G5" s="1305"/>
      <c r="H5" s="1306"/>
      <c r="I5" s="1307">
        <f t="shared" si="0"/>
        <v>0</v>
      </c>
    </row>
    <row r="6" spans="1:9">
      <c r="A6" s="3292"/>
      <c r="B6" s="3293" t="s">
        <v>1087</v>
      </c>
      <c r="C6" s="3293"/>
      <c r="D6" s="1304"/>
      <c r="E6" s="1302"/>
      <c r="F6" s="1305"/>
      <c r="G6" s="1305"/>
      <c r="H6" s="1306"/>
      <c r="I6" s="1307">
        <f t="shared" si="0"/>
        <v>0</v>
      </c>
    </row>
    <row r="7" spans="1:9">
      <c r="A7" s="3292"/>
      <c r="B7" s="3293" t="s">
        <v>1088</v>
      </c>
      <c r="C7" s="3293"/>
      <c r="D7" s="1304"/>
      <c r="E7" s="1302"/>
      <c r="F7" s="1305"/>
      <c r="G7" s="1305"/>
      <c r="H7" s="1306"/>
      <c r="I7" s="1307">
        <f t="shared" si="0"/>
        <v>0</v>
      </c>
    </row>
    <row r="8" spans="1:9">
      <c r="A8" s="3292"/>
      <c r="B8" s="3293" t="s">
        <v>1089</v>
      </c>
      <c r="C8" s="3293"/>
      <c r="D8" s="1304"/>
      <c r="E8" s="1302"/>
      <c r="F8" s="1305"/>
      <c r="G8" s="1305"/>
      <c r="H8" s="1306"/>
      <c r="I8" s="1307">
        <f t="shared" si="0"/>
        <v>0</v>
      </c>
    </row>
    <row r="9" spans="1:9">
      <c r="A9" s="3292"/>
      <c r="B9" s="3293" t="s">
        <v>1090</v>
      </c>
      <c r="C9" s="3293"/>
      <c r="D9" s="1304"/>
      <c r="E9" s="1302"/>
      <c r="F9" s="1305"/>
      <c r="G9" s="1305"/>
      <c r="H9" s="1306"/>
      <c r="I9" s="1307">
        <f t="shared" si="0"/>
        <v>0</v>
      </c>
    </row>
    <row r="10" spans="1:9">
      <c r="A10" s="3292"/>
      <c r="B10" s="3294" t="s">
        <v>1091</v>
      </c>
      <c r="C10" s="3294"/>
      <c r="D10" s="1308"/>
      <c r="E10" s="1308" t="e">
        <f>ROUND(D1*10000/D10/H9,0)</f>
        <v>#DIV/0!</v>
      </c>
      <c r="F10" s="1309"/>
      <c r="G10" s="1309"/>
      <c r="H10" s="1310"/>
      <c r="I10" s="1311">
        <f>SUM(I3:I9)</f>
        <v>0</v>
      </c>
    </row>
    <row r="11" spans="1:9" ht="14.25">
      <c r="A11" s="3292" t="s">
        <v>1092</v>
      </c>
      <c r="B11" s="3293" t="s">
        <v>1093</v>
      </c>
      <c r="C11" s="3293"/>
      <c r="D11" s="1304" t="s">
        <v>1094</v>
      </c>
      <c r="E11" s="1304" t="s">
        <v>1095</v>
      </c>
      <c r="F11" s="1305" t="s">
        <v>1096</v>
      </c>
      <c r="G11" s="1305" t="s">
        <v>1082</v>
      </c>
      <c r="H11" s="1312" t="s">
        <v>1097</v>
      </c>
      <c r="I11" s="1303" t="s">
        <v>1083</v>
      </c>
    </row>
    <row r="12" spans="1:9">
      <c r="A12" s="3292"/>
      <c r="B12" s="3293" t="s">
        <v>1098</v>
      </c>
      <c r="C12" s="3293"/>
      <c r="D12" s="1304"/>
      <c r="E12" s="1304"/>
      <c r="F12" s="1305"/>
      <c r="G12" s="1306"/>
      <c r="H12" s="1313"/>
      <c r="I12" s="1303">
        <f>ROUND(D12*E12*F12*G12/10000,0)</f>
        <v>0</v>
      </c>
    </row>
    <row r="13" spans="1:9">
      <c r="A13" s="3292"/>
      <c r="B13" s="3293" t="s">
        <v>1099</v>
      </c>
      <c r="C13" s="3293"/>
      <c r="D13" s="1304"/>
      <c r="E13" s="1304"/>
      <c r="F13" s="1305"/>
      <c r="G13" s="1306"/>
      <c r="H13" s="1313"/>
      <c r="I13" s="1303">
        <f>ROUND(D13*E13*F13*G13/10000,0)</f>
        <v>0</v>
      </c>
    </row>
    <row r="14" spans="1:9">
      <c r="A14" s="3292"/>
      <c r="B14" s="3293" t="s">
        <v>1100</v>
      </c>
      <c r="C14" s="3293"/>
      <c r="D14" s="1304"/>
      <c r="E14" s="1304"/>
      <c r="F14" s="1305"/>
      <c r="G14" s="1306"/>
      <c r="H14" s="1313"/>
      <c r="I14" s="1303">
        <f>ROUND(D14*E14*F14*G14/10000,0)</f>
        <v>0</v>
      </c>
    </row>
    <row r="15" spans="1:9">
      <c r="A15" s="3292"/>
      <c r="B15" s="3294" t="s">
        <v>1091</v>
      </c>
      <c r="C15" s="3294"/>
      <c r="D15" s="1308"/>
      <c r="E15" s="1308">
        <f>SUM(E12:E14)</f>
        <v>0</v>
      </c>
      <c r="F15" s="1309"/>
      <c r="G15" s="1306"/>
      <c r="H15" s="1313"/>
      <c r="I15" s="1314">
        <f>SUM(I12:I14)</f>
        <v>0</v>
      </c>
    </row>
    <row r="16" spans="1:9" ht="24">
      <c r="A16" s="3292" t="s">
        <v>1101</v>
      </c>
      <c r="B16" s="3293" t="s">
        <v>1102</v>
      </c>
      <c r="C16" s="3293"/>
      <c r="D16" s="1304" t="s">
        <v>1078</v>
      </c>
      <c r="E16" s="1315" t="s">
        <v>1103</v>
      </c>
      <c r="F16" s="1305" t="s">
        <v>1104</v>
      </c>
      <c r="G16" s="1306" t="s">
        <v>1082</v>
      </c>
      <c r="H16" s="1312" t="s">
        <v>1097</v>
      </c>
      <c r="I16" s="1303" t="s">
        <v>1083</v>
      </c>
    </row>
    <row r="17" spans="1:9" ht="14.25">
      <c r="A17" s="3292"/>
      <c r="B17" s="3293" t="s">
        <v>1105</v>
      </c>
      <c r="C17" s="3293"/>
      <c r="D17" s="1304"/>
      <c r="E17" s="1304"/>
      <c r="F17" s="1305"/>
      <c r="G17" s="1306"/>
      <c r="H17" s="1316"/>
      <c r="I17" s="1317">
        <f>ROUND(D17*E17*F17*G17/10000,0)</f>
        <v>0</v>
      </c>
    </row>
    <row r="18" spans="1:9" ht="14.25">
      <c r="A18" s="3292"/>
      <c r="B18" s="3293" t="s">
        <v>1106</v>
      </c>
      <c r="C18" s="3293"/>
      <c r="D18" s="1304"/>
      <c r="E18" s="1304"/>
      <c r="F18" s="1305"/>
      <c r="G18" s="1306"/>
      <c r="H18" s="1316"/>
      <c r="I18" s="1317">
        <f>ROUND(D18*E18*F18*G18/10000,0)</f>
        <v>0</v>
      </c>
    </row>
    <row r="19" spans="1:9" ht="14.25">
      <c r="A19" s="3292"/>
      <c r="B19" s="3293" t="s">
        <v>1107</v>
      </c>
      <c r="C19" s="3293"/>
      <c r="D19" s="1304"/>
      <c r="E19" s="1304"/>
      <c r="F19" s="1305"/>
      <c r="G19" s="1306"/>
      <c r="H19" s="1316"/>
      <c r="I19" s="1317">
        <f>ROUND(D19*E19*F19*G19/10000,0)</f>
        <v>0</v>
      </c>
    </row>
    <row r="20" spans="1:9">
      <c r="A20" s="3292"/>
      <c r="B20" s="3294" t="s">
        <v>1091</v>
      </c>
      <c r="C20" s="3294"/>
      <c r="D20" s="1308">
        <f>SUM(D17:D19)</f>
        <v>0</v>
      </c>
      <c r="E20" s="1308"/>
      <c r="F20" s="1309"/>
      <c r="G20" s="1306"/>
      <c r="H20" s="1313"/>
      <c r="I20" s="1314">
        <f>SUM(I17:I19)</f>
        <v>0</v>
      </c>
    </row>
    <row r="21" spans="1:9">
      <c r="A21" s="3292" t="s">
        <v>1108</v>
      </c>
      <c r="B21" s="3295"/>
      <c r="C21" s="3295"/>
      <c r="D21" s="3295"/>
      <c r="E21" s="3295"/>
      <c r="F21" s="3295"/>
      <c r="G21" s="3295"/>
      <c r="H21" s="1767">
        <v>0.1</v>
      </c>
      <c r="I21" s="1311">
        <f>ROUND(I10*H21,0)</f>
        <v>0</v>
      </c>
    </row>
    <row r="22" spans="1:9" ht="14.25">
      <c r="A22" s="3296" t="s">
        <v>1109</v>
      </c>
      <c r="B22" s="3297"/>
      <c r="C22" s="3298"/>
      <c r="D22" s="1318" t="s">
        <v>1110</v>
      </c>
      <c r="E22" s="1318" t="s">
        <v>1111</v>
      </c>
      <c r="F22" s="1319" t="s">
        <v>1112</v>
      </c>
      <c r="G22" s="1319" t="s">
        <v>1113</v>
      </c>
      <c r="H22" s="1312" t="s">
        <v>1114</v>
      </c>
      <c r="I22" s="1303" t="s">
        <v>1115</v>
      </c>
    </row>
    <row r="23" spans="1:9" ht="14.25" thickBot="1">
      <c r="A23" s="3299"/>
      <c r="B23" s="3300"/>
      <c r="C23" s="3301"/>
      <c r="D23" s="1320"/>
      <c r="E23" s="1320"/>
      <c r="F23" s="1320"/>
      <c r="G23" s="1321"/>
      <c r="H23" s="1322"/>
      <c r="I23" s="1323">
        <f>ROUND(E23*D23*F23*(1-G23)/10000,0)</f>
        <v>0</v>
      </c>
    </row>
    <row r="26" spans="1:9">
      <c r="A26" s="1324" t="s">
        <v>1116</v>
      </c>
      <c r="B26" s="1324"/>
      <c r="C26" s="1324"/>
      <c r="D26" s="1324"/>
      <c r="E26" s="3289">
        <f>C27-C30-C31-C32</f>
        <v>0</v>
      </c>
      <c r="F26" s="3289"/>
      <c r="G26" s="3289"/>
      <c r="H26" s="1739" t="s">
        <v>1337</v>
      </c>
    </row>
    <row r="27" spans="1:9">
      <c r="A27" s="1325">
        <v>1</v>
      </c>
      <c r="B27" s="1326" t="s">
        <v>1117</v>
      </c>
      <c r="C27" s="1326">
        <f>C28+C29</f>
        <v>0</v>
      </c>
      <c r="D27" s="1326"/>
      <c r="E27" s="3290"/>
      <c r="F27" s="3290"/>
      <c r="G27" s="3290"/>
    </row>
    <row r="28" spans="1:9">
      <c r="A28" s="1327" t="s">
        <v>1118</v>
      </c>
      <c r="B28" s="1326" t="s">
        <v>1119</v>
      </c>
      <c r="C28" s="1326"/>
      <c r="D28" s="1326"/>
      <c r="E28" s="3290"/>
      <c r="F28" s="3290"/>
      <c r="G28" s="3290"/>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91"/>
      <c r="F32" s="3291"/>
      <c r="G32" s="3291"/>
    </row>
    <row r="33" spans="1:7" hidden="1">
      <c r="A33" s="3286" t="s">
        <v>1128</v>
      </c>
      <c r="B33" s="3287"/>
      <c r="C33" s="3287"/>
      <c r="D33" s="3288"/>
      <c r="E33" s="3289"/>
      <c r="F33" s="3289"/>
      <c r="G33" s="3289"/>
    </row>
    <row r="34" spans="1:7" hidden="1">
      <c r="A34" s="1329">
        <v>1</v>
      </c>
      <c r="B34" s="1326" t="s">
        <v>1129</v>
      </c>
      <c r="C34" s="1326"/>
      <c r="D34" s="1326"/>
      <c r="E34" s="3290"/>
      <c r="F34" s="3290"/>
      <c r="G34" s="3290"/>
    </row>
    <row r="35" spans="1:7" hidden="1">
      <c r="A35" s="1329">
        <v>2</v>
      </c>
      <c r="B35" s="1326" t="s">
        <v>1130</v>
      </c>
      <c r="C35" s="1326"/>
      <c r="D35" s="1326"/>
      <c r="E35" s="3290"/>
      <c r="F35" s="3290"/>
      <c r="G35" s="3290"/>
    </row>
    <row r="36" spans="1:7" hidden="1">
      <c r="A36" s="1329">
        <v>3</v>
      </c>
      <c r="B36" s="1326" t="s">
        <v>1131</v>
      </c>
      <c r="C36" s="1326"/>
      <c r="D36" s="1326"/>
      <c r="E36" s="3290"/>
      <c r="F36" s="3290"/>
      <c r="G36" s="3290"/>
    </row>
    <row r="37" spans="1:7" hidden="1">
      <c r="A37" s="1329">
        <v>4</v>
      </c>
      <c r="B37" s="1326" t="s">
        <v>1132</v>
      </c>
      <c r="C37" s="1326"/>
      <c r="D37" s="1326"/>
      <c r="E37" s="3290"/>
      <c r="F37" s="3290"/>
      <c r="G37" s="3290"/>
    </row>
    <row r="38" spans="1:7" hidden="1">
      <c r="A38" s="3286" t="s">
        <v>1133</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56" zoomScale="90" zoomScaleNormal="90" workbookViewId="0">
      <selection activeCell="E20" sqref="E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2623</v>
      </c>
      <c r="C1" s="1636" t="s">
        <v>2511</v>
      </c>
      <c r="D1" s="1623" t="s">
        <v>3119</v>
      </c>
      <c r="E1" s="2654"/>
      <c r="F1" s="2581" t="s">
        <v>3129</v>
      </c>
      <c r="G1" s="1633" t="s">
        <v>2624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2308</v>
      </c>
      <c r="B2" s="1419">
        <f>IF(C2="——",ROUND(C49*D3/10000,0),ROUND(C49*D3/10000,0)-D2)</f>
        <v>0</v>
      </c>
      <c r="C2" s="2583" t="s">
        <v>70</v>
      </c>
      <c r="D2" s="1366" t="e">
        <f ca="1">SUMIF(INDIRECT("'"&amp;F2&amp;"'"&amp;"!A:A"),"承租人权益价值",INDIRECT("'"&amp;F2&amp;"'"&amp;"!c:c"))</f>
        <v>#REF!</v>
      </c>
      <c r="E2" s="2584" t="s">
        <v>2309</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2310</v>
      </c>
      <c r="B3" s="609">
        <f>IF(C2="——",C49,ROUND(B2*10000/D3,0))</f>
        <v>41809</v>
      </c>
      <c r="C3" s="400" t="s">
        <v>2625</v>
      </c>
      <c r="D3" s="399">
        <f>IF(D1="",'数据-汇总表'!E3,SUMIF('数据-汇总表'!$C19:$C33,D1,'数据-汇总表'!$E19:$E33))</f>
        <v>0</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41" t="s">
        <v>2629</v>
      </c>
      <c r="AC4" s="3270" t="s">
        <v>2630</v>
      </c>
    </row>
    <row r="5" spans="1:29" ht="15">
      <c r="A5" s="404"/>
      <c r="B5" s="405"/>
      <c r="C5" s="3244" t="s">
        <v>3191</v>
      </c>
      <c r="D5" s="3245"/>
      <c r="E5" s="3253" t="s">
        <v>3202</v>
      </c>
      <c r="F5" s="3254"/>
      <c r="G5" s="3244" t="s">
        <v>3224</v>
      </c>
      <c r="H5" s="3245"/>
      <c r="I5" s="3244" t="s">
        <v>3225</v>
      </c>
      <c r="J5" s="3245"/>
      <c r="K5" s="610"/>
      <c r="L5" s="1131"/>
      <c r="M5" s="1132"/>
      <c r="N5" s="1132"/>
      <c r="O5" s="1132"/>
      <c r="P5" s="3273"/>
      <c r="Q5" s="3231"/>
      <c r="R5" s="3236"/>
      <c r="S5" s="3237"/>
      <c r="T5" s="3236"/>
      <c r="U5" s="3237"/>
      <c r="V5" s="3241"/>
      <c r="W5" s="3241"/>
      <c r="X5" s="1815"/>
      <c r="Y5" s="3236"/>
      <c r="Z5" s="3237"/>
      <c r="AA5" s="3251"/>
      <c r="AB5" s="3241"/>
      <c r="AC5" s="3251"/>
    </row>
    <row r="6" spans="1:29" ht="15.75" thickBot="1">
      <c r="A6" s="406"/>
      <c r="B6" s="407"/>
      <c r="C6" s="3242" t="s">
        <v>2778</v>
      </c>
      <c r="D6" s="3243"/>
      <c r="E6" s="3307" t="s">
        <v>2778</v>
      </c>
      <c r="F6" s="3308"/>
      <c r="G6" s="3242" t="s">
        <v>2778</v>
      </c>
      <c r="H6" s="3243"/>
      <c r="I6" s="3242" t="s">
        <v>3263</v>
      </c>
      <c r="J6" s="3243"/>
      <c r="K6" s="610" t="s">
        <v>2528</v>
      </c>
      <c r="L6" s="1131"/>
      <c r="M6" s="1132"/>
      <c r="N6" s="1132"/>
      <c r="O6" s="1132"/>
      <c r="P6" s="3274"/>
      <c r="Q6" s="3233"/>
      <c r="R6" s="3236"/>
      <c r="S6" s="3237"/>
      <c r="T6" s="3238"/>
      <c r="U6" s="3239"/>
      <c r="V6" s="3241"/>
      <c r="W6" s="3241"/>
      <c r="X6" s="1815"/>
      <c r="Y6" s="3238"/>
      <c r="Z6" s="3239"/>
      <c r="AA6" s="3252"/>
      <c r="AB6" s="3241"/>
      <c r="AC6" s="3252"/>
    </row>
    <row r="7" spans="1:29" s="117" customFormat="1" ht="15.75" thickBot="1">
      <c r="A7" s="408" t="s">
        <v>2529</v>
      </c>
      <c r="B7" s="409"/>
      <c r="C7" s="410">
        <f>'数据-取费表'!B2</f>
        <v>43069</v>
      </c>
      <c r="D7" s="411">
        <v>100</v>
      </c>
      <c r="E7" s="412">
        <v>43040</v>
      </c>
      <c r="F7" s="413">
        <f>SUMIF(58:58,YEAR(E7)&amp;"-"&amp;MONTH(E7),59:59)</f>
        <v>100</v>
      </c>
      <c r="G7" s="412">
        <f>E7</f>
        <v>43040</v>
      </c>
      <c r="H7" s="411">
        <f>SUMIF(58:58,YEAR(G7)&amp;"-"&amp;MONTH(G7),59:59)</f>
        <v>100</v>
      </c>
      <c r="I7" s="412">
        <f>E7</f>
        <v>43040</v>
      </c>
      <c r="J7" s="411">
        <f>SUMIF(58:58,YEAR(I7)&amp;"-"&amp;MONTH(I7),59:59)</f>
        <v>100</v>
      </c>
      <c r="K7" s="611"/>
      <c r="L7" s="1133"/>
      <c r="M7" s="1134"/>
      <c r="N7" s="1134"/>
      <c r="O7" s="1134"/>
      <c r="P7" s="3248" t="s">
        <v>2530</v>
      </c>
      <c r="Q7" s="3249"/>
      <c r="R7" s="769" t="s">
        <v>17</v>
      </c>
      <c r="S7" s="770">
        <f t="shared" ref="S7:S15" si="0">F7</f>
        <v>100</v>
      </c>
      <c r="T7" s="769" t="s">
        <v>17</v>
      </c>
      <c r="U7" s="770">
        <f t="shared" ref="U7:U15" si="1">H7</f>
        <v>100</v>
      </c>
      <c r="V7" s="769" t="s">
        <v>17</v>
      </c>
      <c r="W7" s="770">
        <f t="shared" ref="W7:W15" si="2">J7</f>
        <v>100</v>
      </c>
      <c r="X7" s="771"/>
      <c r="Y7" s="3248" t="s">
        <v>2530</v>
      </c>
      <c r="Z7" s="3247"/>
      <c r="AA7" s="772">
        <f>D7/F7</f>
        <v>1</v>
      </c>
      <c r="AB7" s="772">
        <f>D7/H7</f>
        <v>1</v>
      </c>
      <c r="AC7" s="772">
        <f>D7/J7</f>
        <v>1</v>
      </c>
    </row>
    <row r="8" spans="1:29" s="117" customFormat="1" ht="15.75" thickBot="1">
      <c r="A8" s="408" t="s">
        <v>2531</v>
      </c>
      <c r="B8" s="409"/>
      <c r="C8" s="414" t="s">
        <v>2633</v>
      </c>
      <c r="D8" s="411">
        <v>100</v>
      </c>
      <c r="E8" s="414" t="s">
        <v>3029</v>
      </c>
      <c r="F8" s="413">
        <f>SUMIF(61:61,E8,62:62)-SUMIF(61:61,C8,62:62)+100</f>
        <v>100</v>
      </c>
      <c r="G8" s="414" t="s">
        <v>3029</v>
      </c>
      <c r="H8" s="411">
        <f>SUMIF(61:61,G8,62:62)-SUMIF(61:61,C8,62:62)+100</f>
        <v>100</v>
      </c>
      <c r="I8" s="414" t="s">
        <v>3029</v>
      </c>
      <c r="J8" s="411">
        <f>SUMIF(61:61,I8,62:62)-SUMIF(61:61,C8,62:62)+100</f>
        <v>100</v>
      </c>
      <c r="K8" s="611"/>
      <c r="L8" s="1133"/>
      <c r="M8" s="1134"/>
      <c r="N8" s="1134"/>
      <c r="O8" s="1134"/>
      <c r="P8" s="3248" t="s">
        <v>2533</v>
      </c>
      <c r="Q8" s="3247"/>
      <c r="R8" s="769" t="s">
        <v>17</v>
      </c>
      <c r="S8" s="770">
        <f t="shared" si="0"/>
        <v>100</v>
      </c>
      <c r="T8" s="769" t="s">
        <v>17</v>
      </c>
      <c r="U8" s="770">
        <f t="shared" si="1"/>
        <v>100</v>
      </c>
      <c r="V8" s="769" t="s">
        <v>17</v>
      </c>
      <c r="W8" s="770">
        <f t="shared" si="2"/>
        <v>100</v>
      </c>
      <c r="X8" s="771"/>
      <c r="Y8" s="3248" t="s">
        <v>2533</v>
      </c>
      <c r="Z8" s="3247"/>
      <c r="AA8" s="772">
        <f t="shared" ref="AA8:AA46" si="3">D8/F8</f>
        <v>1</v>
      </c>
      <c r="AB8" s="772">
        <f t="shared" ref="AB8:AB46" si="4">D8/H8</f>
        <v>1</v>
      </c>
      <c r="AC8" s="772">
        <f t="shared" ref="AC8:AC46" si="5">D8/J8</f>
        <v>1</v>
      </c>
    </row>
    <row r="9" spans="1:29" s="117" customFormat="1">
      <c r="A9" s="415" t="s">
        <v>2534</v>
      </c>
      <c r="B9" s="71" t="s">
        <v>2535</v>
      </c>
      <c r="C9" s="2983" t="s">
        <v>3190</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75" thickBot="1">
      <c r="A10" s="421"/>
      <c r="B10" s="422" t="s">
        <v>2538</v>
      </c>
      <c r="C10" s="423" t="s">
        <v>3131</v>
      </c>
      <c r="D10" s="136">
        <v>100</v>
      </c>
      <c r="E10" s="424" t="s">
        <v>3201</v>
      </c>
      <c r="F10" s="425">
        <f>SUMIF(65:65,E10,66:66)-SUMIF(65:65,C10,66:66)+100</f>
        <v>102</v>
      </c>
      <c r="G10" s="423" t="s">
        <v>3201</v>
      </c>
      <c r="H10" s="136">
        <f>SUMIF(65:65,G10,66:66)-SUMIF(65:65,C10,66:66)+100</f>
        <v>102</v>
      </c>
      <c r="I10" s="423" t="s">
        <v>3201</v>
      </c>
      <c r="J10" s="136">
        <f>SUMIF(65:65,I10,66:66)-SUMIF(65:65,C10,66:66)+100</f>
        <v>102</v>
      </c>
      <c r="K10" s="612">
        <v>1</v>
      </c>
      <c r="L10" s="1136"/>
      <c r="M10" s="1137"/>
      <c r="N10" s="1137"/>
      <c r="O10" s="1137"/>
      <c r="P10" s="3206"/>
      <c r="Q10" s="1797" t="str">
        <f t="shared" si="6"/>
        <v>土地使用年限（年）</v>
      </c>
      <c r="R10" s="769" t="s">
        <v>17</v>
      </c>
      <c r="S10" s="770">
        <f t="shared" si="0"/>
        <v>102</v>
      </c>
      <c r="T10" s="769" t="s">
        <v>17</v>
      </c>
      <c r="U10" s="770">
        <f t="shared" si="1"/>
        <v>102</v>
      </c>
      <c r="V10" s="769" t="s">
        <v>17</v>
      </c>
      <c r="W10" s="770">
        <f t="shared" si="2"/>
        <v>102</v>
      </c>
      <c r="X10" s="771"/>
      <c r="Y10" s="3060"/>
      <c r="Z10" s="55" t="str">
        <f t="shared" si="7"/>
        <v>土地使用年限（年）</v>
      </c>
      <c r="AA10" s="772">
        <f t="shared" si="3"/>
        <v>0.98039215686274506</v>
      </c>
      <c r="AB10" s="772">
        <f t="shared" si="4"/>
        <v>0.98039215686274506</v>
      </c>
      <c r="AC10" s="772">
        <f t="shared" si="5"/>
        <v>0.98039215686274506</v>
      </c>
    </row>
    <row r="11" spans="1:29" ht="15" hidden="1">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06"/>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6"/>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6"/>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6"/>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57">
      <c r="A15" s="440" t="s">
        <v>2540</v>
      </c>
      <c r="B15" s="69" t="s">
        <v>2634</v>
      </c>
      <c r="C15" s="2600">
        <f>估价对象房地状况!C4</f>
        <v>0</v>
      </c>
      <c r="D15" s="441">
        <v>100</v>
      </c>
      <c r="E15" s="2988" t="s">
        <v>3226</v>
      </c>
      <c r="F15" s="443">
        <f>SUMIF(76:76,E16,77:77)-SUMIF(76:76,C16,77:77)+100</f>
        <v>100</v>
      </c>
      <c r="G15" s="2987" t="s">
        <v>3227</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12" t="s">
        <v>2541</v>
      </c>
      <c r="Q15" s="1812" t="str">
        <f t="shared" si="6"/>
        <v>商业繁华度</v>
      </c>
      <c r="R15" s="773" t="s">
        <v>17</v>
      </c>
      <c r="S15" s="774">
        <f t="shared" si="0"/>
        <v>100</v>
      </c>
      <c r="T15" s="773" t="s">
        <v>17</v>
      </c>
      <c r="U15" s="774">
        <f t="shared" si="1"/>
        <v>95</v>
      </c>
      <c r="V15" s="773" t="s">
        <v>17</v>
      </c>
      <c r="W15" s="774">
        <f t="shared" si="2"/>
        <v>100</v>
      </c>
      <c r="X15" s="1815"/>
      <c r="Y15" s="3214" t="s">
        <v>2541</v>
      </c>
      <c r="Z15" s="1816" t="str">
        <f t="shared" si="7"/>
        <v>商业繁华度</v>
      </c>
      <c r="AA15" s="1813">
        <f t="shared" si="3"/>
        <v>1</v>
      </c>
      <c r="AB15" s="1813">
        <f t="shared" si="4"/>
        <v>1.0526315789473684</v>
      </c>
      <c r="AC15" s="1813">
        <f t="shared" si="5"/>
        <v>1</v>
      </c>
    </row>
    <row r="16" spans="1:29" ht="15">
      <c r="A16" s="428"/>
      <c r="B16" s="446"/>
      <c r="C16" s="447" t="s">
        <v>3134</v>
      </c>
      <c r="D16" s="448"/>
      <c r="E16" s="447" t="s">
        <v>3134</v>
      </c>
      <c r="F16" s="449"/>
      <c r="G16" s="447" t="s">
        <v>3133</v>
      </c>
      <c r="H16" s="450"/>
      <c r="I16" s="447" t="s">
        <v>3134</v>
      </c>
      <c r="J16" s="448"/>
      <c r="K16" s="615"/>
      <c r="L16" s="1141"/>
      <c r="M16" s="1132"/>
      <c r="N16" s="1132"/>
      <c r="O16" s="1132"/>
      <c r="P16" s="3213"/>
      <c r="Q16" s="1812"/>
      <c r="R16" s="773"/>
      <c r="S16" s="774"/>
      <c r="T16" s="773"/>
      <c r="U16" s="774"/>
      <c r="V16" s="773"/>
      <c r="W16" s="774"/>
      <c r="X16" s="1815"/>
      <c r="Y16" s="3215"/>
      <c r="Z16" s="1816"/>
      <c r="AA16" s="1813">
        <v>1</v>
      </c>
      <c r="AB16" s="1813">
        <v>1</v>
      </c>
      <c r="AC16" s="1813">
        <v>1</v>
      </c>
    </row>
    <row r="17" spans="1:29" ht="54">
      <c r="A17" s="428"/>
      <c r="B17" s="451" t="s">
        <v>2080</v>
      </c>
      <c r="C17" s="2604" t="str">
        <f>估价对象房地状况!C6</f>
        <v>一般</v>
      </c>
      <c r="D17" s="450">
        <v>100</v>
      </c>
      <c r="E17" s="3006" t="str">
        <f>C17</f>
        <v>一般</v>
      </c>
      <c r="F17" s="453">
        <f>SUMIF(78:78,E18,79:79)-SUMIF(78:78,C18,79:79)+100</f>
        <v>100</v>
      </c>
      <c r="G17" s="2989" t="s">
        <v>3228</v>
      </c>
      <c r="H17" s="455">
        <f>SUMIF(78:78,G18,79:79)-SUMIF(78:78,C18,79:79)+100</f>
        <v>98</v>
      </c>
      <c r="I17" s="2991" t="str">
        <f>C17</f>
        <v>一般</v>
      </c>
      <c r="J17" s="455">
        <f>SUMIF(78:78,I18,79:79)-SUMIF(78:78,C18,79:79)+100</f>
        <v>100</v>
      </c>
      <c r="K17" s="614">
        <v>2</v>
      </c>
      <c r="L17" s="1141"/>
      <c r="M17" s="1132"/>
      <c r="N17" s="1132"/>
      <c r="O17" s="1132"/>
      <c r="P17" s="3213"/>
      <c r="Q17" s="1812" t="str">
        <f>B17</f>
        <v>交通便捷度</v>
      </c>
      <c r="R17" s="773" t="s">
        <v>17</v>
      </c>
      <c r="S17" s="774">
        <f>F17</f>
        <v>100</v>
      </c>
      <c r="T17" s="773" t="s">
        <v>17</v>
      </c>
      <c r="U17" s="774">
        <f>H17</f>
        <v>98</v>
      </c>
      <c r="V17" s="773" t="s">
        <v>17</v>
      </c>
      <c r="W17" s="774">
        <f>J17</f>
        <v>100</v>
      </c>
      <c r="X17" s="1815"/>
      <c r="Y17" s="3215"/>
      <c r="Z17" s="1816" t="str">
        <f>Q17</f>
        <v>交通便捷度</v>
      </c>
      <c r="AA17" s="1813">
        <f t="shared" si="3"/>
        <v>1</v>
      </c>
      <c r="AB17" s="1813">
        <f t="shared" si="4"/>
        <v>1.0204081632653061</v>
      </c>
      <c r="AC17" s="1813">
        <f t="shared" si="5"/>
        <v>1</v>
      </c>
    </row>
    <row r="18" spans="1:29" ht="15">
      <c r="A18" s="428"/>
      <c r="B18" s="456"/>
      <c r="C18" s="2605" t="s">
        <v>3134</v>
      </c>
      <c r="D18" s="450"/>
      <c r="E18" s="2607" t="s">
        <v>3134</v>
      </c>
      <c r="F18" s="453"/>
      <c r="G18" s="2606" t="s">
        <v>3133</v>
      </c>
      <c r="H18" s="448"/>
      <c r="I18" s="2607" t="s">
        <v>3134</v>
      </c>
      <c r="J18" s="448"/>
      <c r="K18" s="615"/>
      <c r="L18" s="1141"/>
      <c r="M18" s="1132"/>
      <c r="N18" s="1132"/>
      <c r="O18" s="1132"/>
      <c r="P18" s="3213"/>
      <c r="Q18" s="1812"/>
      <c r="R18" s="773"/>
      <c r="S18" s="774"/>
      <c r="T18" s="773"/>
      <c r="U18" s="774"/>
      <c r="V18" s="773"/>
      <c r="W18" s="774"/>
      <c r="X18" s="1815"/>
      <c r="Y18" s="3215"/>
      <c r="Z18" s="1816"/>
      <c r="AA18" s="1813">
        <v>1</v>
      </c>
      <c r="AB18" s="1813">
        <v>1</v>
      </c>
      <c r="AC18" s="1813">
        <v>1</v>
      </c>
    </row>
    <row r="19" spans="1:29" ht="28.5">
      <c r="A19" s="428"/>
      <c r="B19" s="451" t="s">
        <v>2635</v>
      </c>
      <c r="C19" s="2604" t="str">
        <f>估价对象房地状况!C7</f>
        <v>较齐备</v>
      </c>
      <c r="D19" s="455">
        <v>100</v>
      </c>
      <c r="E19" s="2994" t="s">
        <v>3258</v>
      </c>
      <c r="F19" s="458">
        <f>SUMIF(80:80,E20,81:81)-SUMIF(80:80,C20,81:81)+100</f>
        <v>100</v>
      </c>
      <c r="G19" s="2993" t="s">
        <v>3259</v>
      </c>
      <c r="H19" s="450">
        <f>SUMIF(80:80,G20,81:81)-SUMIF(80:80,C20,81:81)+100</f>
        <v>98</v>
      </c>
      <c r="I19" s="457" t="str">
        <f>E19</f>
        <v>老城区、配套齐备</v>
      </c>
      <c r="J19" s="450">
        <f>SUMIF(80:80,I20,81:81)-SUMIF(80:80,C20,81:81)+100</f>
        <v>100</v>
      </c>
      <c r="K19" s="614">
        <v>2</v>
      </c>
      <c r="L19" s="1141"/>
      <c r="M19" s="1132"/>
      <c r="N19" s="1132"/>
      <c r="O19" s="1132"/>
      <c r="P19" s="3213"/>
      <c r="Q19" s="1812" t="str">
        <f>B19</f>
        <v>公共配套设施</v>
      </c>
      <c r="R19" s="773" t="s">
        <v>17</v>
      </c>
      <c r="S19" s="774">
        <f>F19</f>
        <v>100</v>
      </c>
      <c r="T19" s="773" t="s">
        <v>17</v>
      </c>
      <c r="U19" s="774">
        <f>H19</f>
        <v>98</v>
      </c>
      <c r="V19" s="773" t="s">
        <v>17</v>
      </c>
      <c r="W19" s="774">
        <f>J19</f>
        <v>100</v>
      </c>
      <c r="X19" s="1815"/>
      <c r="Y19" s="3215"/>
      <c r="Z19" s="1816" t="str">
        <f>Q19</f>
        <v>公共配套设施</v>
      </c>
      <c r="AA19" s="1813">
        <f t="shared" si="3"/>
        <v>1</v>
      </c>
      <c r="AB19" s="1813">
        <f t="shared" si="4"/>
        <v>1.0204081632653061</v>
      </c>
      <c r="AC19" s="1813">
        <f t="shared" si="5"/>
        <v>1</v>
      </c>
    </row>
    <row r="20" spans="1:29" ht="15">
      <c r="A20" s="428"/>
      <c r="B20" s="456"/>
      <c r="C20" s="447" t="s">
        <v>3135</v>
      </c>
      <c r="D20" s="448"/>
      <c r="E20" s="2602" t="s">
        <v>3135</v>
      </c>
      <c r="F20" s="449"/>
      <c r="G20" s="2601" t="s">
        <v>3134</v>
      </c>
      <c r="H20" s="448"/>
      <c r="I20" s="2602" t="s">
        <v>3135</v>
      </c>
      <c r="J20" s="448"/>
      <c r="K20" s="615"/>
      <c r="L20" s="1141"/>
      <c r="M20" s="1132"/>
      <c r="N20" s="1132"/>
      <c r="O20" s="1132"/>
      <c r="P20" s="3213"/>
      <c r="Q20" s="1812"/>
      <c r="R20" s="773"/>
      <c r="S20" s="774"/>
      <c r="T20" s="773"/>
      <c r="U20" s="774"/>
      <c r="V20" s="773"/>
      <c r="W20" s="774"/>
      <c r="X20" s="1815"/>
      <c r="Y20" s="3215"/>
      <c r="Z20" s="1816"/>
      <c r="AA20" s="1813">
        <v>1</v>
      </c>
      <c r="AB20" s="1813">
        <v>1</v>
      </c>
      <c r="AC20" s="1813">
        <v>1</v>
      </c>
    </row>
    <row r="21" spans="1:29" ht="15">
      <c r="A21" s="428"/>
      <c r="B21" s="1385" t="s">
        <v>2636</v>
      </c>
      <c r="C21" s="2604" t="str">
        <f>估价对象房地状况!C8</f>
        <v>七通</v>
      </c>
      <c r="D21" s="455">
        <v>100</v>
      </c>
      <c r="E21" s="2994" t="s">
        <v>3260</v>
      </c>
      <c r="F21" s="458">
        <f>SUMIF(82:82,E22,83:83)-SUMIF(82:82,C22,83:83)+100</f>
        <v>100</v>
      </c>
      <c r="G21" s="2994" t="s">
        <v>3260</v>
      </c>
      <c r="H21" s="450">
        <f>SUMIF(82:82,G22,83:83)-SUMIF(82:82,C22,83:83)+100</f>
        <v>100</v>
      </c>
      <c r="I21" s="2994" t="s">
        <v>3260</v>
      </c>
      <c r="J21" s="450">
        <f>SUMIF(82:82,I22,83:83)-SUMIF(82:82,C22,83:83)+100</f>
        <v>100</v>
      </c>
      <c r="K21" s="614">
        <v>1</v>
      </c>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t="s">
        <v>3123</v>
      </c>
      <c r="D22" s="448"/>
      <c r="E22" s="447" t="s">
        <v>3123</v>
      </c>
      <c r="F22" s="449"/>
      <c r="G22" s="447" t="s">
        <v>3123</v>
      </c>
      <c r="H22" s="448"/>
      <c r="I22" s="447" t="s">
        <v>3123</v>
      </c>
      <c r="J22" s="448"/>
      <c r="K22" s="1384"/>
      <c r="L22" s="1141"/>
      <c r="M22" s="1132"/>
      <c r="N22" s="1132"/>
      <c r="O22" s="1132"/>
      <c r="P22" s="3213"/>
      <c r="Q22" s="1812"/>
      <c r="R22" s="773"/>
      <c r="S22" s="774"/>
      <c r="T22" s="773"/>
      <c r="U22" s="774"/>
      <c r="V22" s="773"/>
      <c r="W22" s="774"/>
      <c r="X22" s="1815"/>
      <c r="Y22" s="3215"/>
      <c r="Z22" s="1816"/>
      <c r="AA22" s="1813">
        <v>1</v>
      </c>
      <c r="AB22" s="1813">
        <v>1</v>
      </c>
      <c r="AC22" s="1813">
        <v>1</v>
      </c>
    </row>
    <row r="23" spans="1:29" ht="75" customHeight="1">
      <c r="A23" s="428"/>
      <c r="B23" s="451" t="s">
        <v>2083</v>
      </c>
      <c r="C23" s="2661" t="str">
        <f>估价对象房地状况!C9</f>
        <v>一般</v>
      </c>
      <c r="D23" s="450">
        <v>100</v>
      </c>
      <c r="E23" s="2990" t="s">
        <v>3257</v>
      </c>
      <c r="F23" s="453">
        <f>SUMIF(84:84,E24,85:85)-SUMIF(84:84,C24,85:85)+100</f>
        <v>100</v>
      </c>
      <c r="G23" s="2989" t="s">
        <v>3257</v>
      </c>
      <c r="H23" s="450">
        <f>SUMIF(84:84,G24,85:85)-SUMIF(84:84,C24,85:85)+100</f>
        <v>100</v>
      </c>
      <c r="I23" s="2990" t="s">
        <v>3257</v>
      </c>
      <c r="J23" s="450">
        <f>SUMIF(84:84,I24,85:85)-SUMIF(84:84,C24,85:85)+100</f>
        <v>100</v>
      </c>
      <c r="K23" s="614">
        <v>2</v>
      </c>
      <c r="L23" s="1141"/>
      <c r="M23" s="1132"/>
      <c r="N23" s="1132"/>
      <c r="O23" s="1132"/>
      <c r="P23" s="3213"/>
      <c r="Q23" s="1812" t="str">
        <f>B23</f>
        <v>自然及人文环境</v>
      </c>
      <c r="R23" s="773" t="s">
        <v>17</v>
      </c>
      <c r="S23" s="774">
        <f>F23</f>
        <v>100</v>
      </c>
      <c r="T23" s="773" t="s">
        <v>17</v>
      </c>
      <c r="U23" s="774">
        <f>H23</f>
        <v>100</v>
      </c>
      <c r="V23" s="773" t="s">
        <v>17</v>
      </c>
      <c r="W23" s="774">
        <f>J23</f>
        <v>100</v>
      </c>
      <c r="X23" s="1815"/>
      <c r="Y23" s="3215"/>
      <c r="Z23" s="1816" t="str">
        <f>Q23</f>
        <v>自然及人文环境</v>
      </c>
      <c r="AA23" s="1813">
        <f t="shared" si="3"/>
        <v>1</v>
      </c>
      <c r="AB23" s="1813">
        <f t="shared" si="4"/>
        <v>1</v>
      </c>
      <c r="AC23" s="1813">
        <f t="shared" si="5"/>
        <v>1</v>
      </c>
    </row>
    <row r="24" spans="1:29" ht="15">
      <c r="A24" s="428"/>
      <c r="B24" s="456"/>
      <c r="C24" s="447" t="s">
        <v>3133</v>
      </c>
      <c r="D24" s="448"/>
      <c r="E24" s="2602" t="s">
        <v>3133</v>
      </c>
      <c r="F24" s="449"/>
      <c r="G24" s="2601" t="s">
        <v>3133</v>
      </c>
      <c r="H24" s="448"/>
      <c r="I24" s="2602" t="s">
        <v>3133</v>
      </c>
      <c r="J24" s="448"/>
      <c r="K24" s="615"/>
      <c r="L24" s="1141"/>
      <c r="M24" s="1132"/>
      <c r="N24" s="1132"/>
      <c r="O24" s="1132"/>
      <c r="P24" s="3213"/>
      <c r="Q24" s="1812"/>
      <c r="R24" s="773"/>
      <c r="S24" s="774"/>
      <c r="T24" s="773"/>
      <c r="U24" s="774"/>
      <c r="V24" s="773"/>
      <c r="W24" s="774"/>
      <c r="X24" s="1815"/>
      <c r="Y24" s="3215"/>
      <c r="Z24" s="1816"/>
      <c r="AA24" s="1813">
        <v>1</v>
      </c>
      <c r="AB24" s="1813">
        <v>1</v>
      </c>
      <c r="AC24" s="1813">
        <v>1</v>
      </c>
    </row>
    <row r="25" spans="1:29" ht="15">
      <c r="A25" s="428"/>
      <c r="B25" s="422" t="s">
        <v>2637</v>
      </c>
      <c r="C25" s="616" t="s">
        <v>3138</v>
      </c>
      <c r="D25" s="435">
        <v>100</v>
      </c>
      <c r="E25" s="616" t="s">
        <v>3141</v>
      </c>
      <c r="F25" s="461">
        <f>SUMIF(86:86,E25,87:87)-SUMIF(86:86,C25,87:87)+100</f>
        <v>98</v>
      </c>
      <c r="G25" s="616" t="s">
        <v>3138</v>
      </c>
      <c r="H25" s="435">
        <f>SUMIF(86:86,G25,87:87)-SUMIF(86:86,C25,87:87)+100</f>
        <v>100</v>
      </c>
      <c r="I25" s="616" t="s">
        <v>3138</v>
      </c>
      <c r="J25" s="435">
        <f>SUMIF(86:86,I25,87:87)-SUMIF(86:86,C25,87:87)+100</f>
        <v>100</v>
      </c>
      <c r="K25" s="612">
        <v>1</v>
      </c>
      <c r="L25" s="1141"/>
      <c r="M25" s="1132"/>
      <c r="N25" s="1132"/>
      <c r="O25" s="1132"/>
      <c r="P25" s="3213"/>
      <c r="Q25" s="1812" t="str">
        <f t="shared" ref="Q25:Q46" si="11">B25</f>
        <v>临街状况</v>
      </c>
      <c r="R25" s="773" t="s">
        <v>17</v>
      </c>
      <c r="S25" s="774">
        <f>F25</f>
        <v>98</v>
      </c>
      <c r="T25" s="773" t="s">
        <v>17</v>
      </c>
      <c r="U25" s="774">
        <f>H25</f>
        <v>100</v>
      </c>
      <c r="V25" s="773" t="s">
        <v>17</v>
      </c>
      <c r="W25" s="774">
        <f>J25</f>
        <v>100</v>
      </c>
      <c r="X25" s="1815"/>
      <c r="Y25" s="3215"/>
      <c r="Z25" s="1816" t="str">
        <f>Q25</f>
        <v>临街状况</v>
      </c>
      <c r="AA25" s="1813">
        <f t="shared" si="3"/>
        <v>1.0204081632653061</v>
      </c>
      <c r="AB25" s="1813">
        <f t="shared" si="4"/>
        <v>1</v>
      </c>
      <c r="AC25" s="1813">
        <f t="shared" si="5"/>
        <v>1</v>
      </c>
    </row>
    <row r="26" spans="1:29" ht="15">
      <c r="A26" s="428"/>
      <c r="B26" s="1387" t="s">
        <v>2638</v>
      </c>
      <c r="C26" s="3008" t="s">
        <v>3235</v>
      </c>
      <c r="D26" s="435">
        <v>100</v>
      </c>
      <c r="E26" s="3008" t="s">
        <v>3235</v>
      </c>
      <c r="F26" s="461">
        <f>SUMIF(88:88,E26,89:89)-SUMIF(88:88,C26,89:89)+100</f>
        <v>100</v>
      </c>
      <c r="G26" s="3008" t="s">
        <v>3235</v>
      </c>
      <c r="H26" s="435">
        <f>SUMIF(88:88,G26,89:89)-SUMIF(88:88,C26,89:89)+100</f>
        <v>100</v>
      </c>
      <c r="I26" s="3008" t="s">
        <v>3235</v>
      </c>
      <c r="J26" s="435">
        <f>SUMIF(88:88,I26,89:89)-SUMIF(88:88,C26,89:89)+100</f>
        <v>100</v>
      </c>
      <c r="K26" s="613"/>
      <c r="L26" s="1141"/>
      <c r="M26" s="1132"/>
      <c r="N26" s="1132"/>
      <c r="O26" s="1132"/>
      <c r="P26" s="3213"/>
      <c r="Q26" s="1812" t="str">
        <f t="shared" si="11"/>
        <v>平面位置/可视性</v>
      </c>
      <c r="R26" s="773" t="s">
        <v>17</v>
      </c>
      <c r="S26" s="774">
        <f>F26</f>
        <v>100</v>
      </c>
      <c r="T26" s="773" t="s">
        <v>17</v>
      </c>
      <c r="U26" s="774">
        <f>H26</f>
        <v>100</v>
      </c>
      <c r="V26" s="773" t="s">
        <v>17</v>
      </c>
      <c r="W26" s="774">
        <f>J26</f>
        <v>100</v>
      </c>
      <c r="X26" s="1815"/>
      <c r="Y26" s="3215"/>
      <c r="Z26" s="1816" t="str">
        <f>Q26</f>
        <v>平面位置/可视性</v>
      </c>
      <c r="AA26" s="1813">
        <f t="shared" si="3"/>
        <v>1</v>
      </c>
      <c r="AB26" s="1813">
        <f t="shared" si="4"/>
        <v>1</v>
      </c>
      <c r="AC26" s="1813">
        <f t="shared" si="5"/>
        <v>1</v>
      </c>
    </row>
    <row r="27" spans="1:29" s="117" customFormat="1" ht="15">
      <c r="A27" s="431"/>
      <c r="B27" s="451" t="s">
        <v>2639</v>
      </c>
      <c r="C27" s="2662" t="s">
        <v>3240</v>
      </c>
      <c r="D27" s="462">
        <v>100</v>
      </c>
      <c r="E27" s="2662" t="s">
        <v>3240</v>
      </c>
      <c r="F27" s="464">
        <f>SUMIF(90:90,E27,91:91)-SUMIF(90:90,C27,91:91)+100</f>
        <v>100</v>
      </c>
      <c r="G27" s="2662" t="s">
        <v>3133</v>
      </c>
      <c r="H27" s="462">
        <f>SUMIF(90:90,G27,91:91)-SUMIF(90:90,C27,91:91)+100</f>
        <v>98</v>
      </c>
      <c r="I27" s="2662" t="s">
        <v>3240</v>
      </c>
      <c r="J27" s="462">
        <f>SUMIF(90:90,I27,91:91)-SUMIF(90:90,C27,91:91)+100</f>
        <v>100</v>
      </c>
      <c r="K27" s="612">
        <v>2</v>
      </c>
      <c r="L27" s="1133"/>
      <c r="M27" s="1134"/>
      <c r="N27" s="1134"/>
      <c r="O27" s="1134"/>
      <c r="P27" s="3213"/>
      <c r="Q27" s="1797" t="str">
        <f t="shared" si="11"/>
        <v>人流量</v>
      </c>
      <c r="R27" s="769" t="s">
        <v>17</v>
      </c>
      <c r="S27" s="770">
        <f>F27</f>
        <v>100</v>
      </c>
      <c r="T27" s="769" t="s">
        <v>17</v>
      </c>
      <c r="U27" s="770">
        <f>H27</f>
        <v>98</v>
      </c>
      <c r="V27" s="769" t="s">
        <v>17</v>
      </c>
      <c r="W27" s="770">
        <f>J27</f>
        <v>100</v>
      </c>
      <c r="X27" s="771"/>
      <c r="Y27" s="3215"/>
      <c r="Z27" s="55" t="str">
        <f>Q27</f>
        <v>人流量</v>
      </c>
      <c r="AA27" s="1813">
        <f>D27/F27</f>
        <v>1</v>
      </c>
      <c r="AB27" s="1813">
        <f>D27/H27</f>
        <v>1.0204081632653061</v>
      </c>
      <c r="AC27" s="1813">
        <f>D27/J27</f>
        <v>1</v>
      </c>
    </row>
    <row r="28" spans="1:29" ht="15.75" thickBot="1">
      <c r="A28" s="428"/>
      <c r="B28" s="422" t="s">
        <v>2640</v>
      </c>
      <c r="C28" s="616" t="s">
        <v>3192</v>
      </c>
      <c r="D28" s="435">
        <v>100</v>
      </c>
      <c r="E28" s="616" t="s">
        <v>3192</v>
      </c>
      <c r="F28" s="461">
        <f>SUMIF(92:92,E28,93:93)-SUMIF(92:92,C28,93:93)+100</f>
        <v>100</v>
      </c>
      <c r="G28" s="616" t="s">
        <v>3192</v>
      </c>
      <c r="H28" s="435">
        <f>SUMIF(92:92,G28,93:93)-SUMIF(92:92,C28,93:93)+100</f>
        <v>100</v>
      </c>
      <c r="I28" s="616" t="s">
        <v>3192</v>
      </c>
      <c r="J28" s="435">
        <f>SUMIF(92:92,I28,93:93)-SUMIF(92:92,C28,93:93)+100</f>
        <v>100</v>
      </c>
      <c r="K28" s="613"/>
      <c r="L28" s="1141"/>
      <c r="M28" s="1132"/>
      <c r="N28" s="1132"/>
      <c r="O28" s="1132"/>
      <c r="P28" s="321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5"/>
      <c r="Z28" s="1816" t="str">
        <f t="shared" ref="Z28:Z46" si="15">Q28</f>
        <v>楼层</v>
      </c>
      <c r="AA28" s="1813">
        <f t="shared" si="3"/>
        <v>1</v>
      </c>
      <c r="AB28" s="1813">
        <f t="shared" si="4"/>
        <v>1</v>
      </c>
      <c r="AC28" s="1813">
        <f t="shared" si="5"/>
        <v>1</v>
      </c>
    </row>
    <row r="29" spans="1:29" ht="15" hidden="1">
      <c r="A29" s="428"/>
      <c r="B29" s="1387"/>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3"/>
      <c r="Q29" s="1812">
        <f t="shared" si="11"/>
        <v>0</v>
      </c>
      <c r="R29" s="773" t="s">
        <v>17</v>
      </c>
      <c r="S29" s="774">
        <f t="shared" si="12"/>
        <v>100</v>
      </c>
      <c r="T29" s="773" t="s">
        <v>17</v>
      </c>
      <c r="U29" s="774">
        <f t="shared" si="13"/>
        <v>100</v>
      </c>
      <c r="V29" s="773" t="s">
        <v>17</v>
      </c>
      <c r="W29" s="774">
        <f t="shared" si="14"/>
        <v>100</v>
      </c>
      <c r="X29" s="1815"/>
      <c r="Y29" s="3215"/>
      <c r="Z29" s="1816">
        <f t="shared" si="15"/>
        <v>0</v>
      </c>
      <c r="AA29" s="1813">
        <f t="shared" si="3"/>
        <v>1</v>
      </c>
      <c r="AB29" s="1813">
        <f t="shared" si="4"/>
        <v>1</v>
      </c>
      <c r="AC29" s="1813">
        <f t="shared" si="5"/>
        <v>1</v>
      </c>
    </row>
    <row r="30" spans="1:29" ht="15" hidden="1">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3"/>
      <c r="Q30" s="1812">
        <f t="shared" si="11"/>
        <v>0</v>
      </c>
      <c r="R30" s="773" t="s">
        <v>17</v>
      </c>
      <c r="S30" s="774">
        <f t="shared" si="12"/>
        <v>100</v>
      </c>
      <c r="T30" s="773" t="s">
        <v>17</v>
      </c>
      <c r="U30" s="774">
        <f t="shared" si="13"/>
        <v>100</v>
      </c>
      <c r="V30" s="773" t="s">
        <v>17</v>
      </c>
      <c r="W30" s="774">
        <f t="shared" si="14"/>
        <v>100</v>
      </c>
      <c r="X30" s="1815"/>
      <c r="Y30" s="3215"/>
      <c r="Z30" s="1816">
        <f t="shared" si="15"/>
        <v>0</v>
      </c>
      <c r="AA30" s="1813">
        <f t="shared" si="3"/>
        <v>1</v>
      </c>
      <c r="AB30" s="1813">
        <f t="shared" si="4"/>
        <v>1</v>
      </c>
      <c r="AC30" s="1813">
        <f t="shared" si="5"/>
        <v>1</v>
      </c>
    </row>
    <row r="31" spans="1:29" ht="15.75" hidden="1"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3"/>
      <c r="Q31" s="1812">
        <f t="shared" si="11"/>
        <v>0</v>
      </c>
      <c r="R31" s="773" t="s">
        <v>17</v>
      </c>
      <c r="S31" s="774">
        <f t="shared" si="12"/>
        <v>100</v>
      </c>
      <c r="T31" s="773" t="s">
        <v>17</v>
      </c>
      <c r="U31" s="774">
        <f t="shared" si="13"/>
        <v>100</v>
      </c>
      <c r="V31" s="773" t="s">
        <v>17</v>
      </c>
      <c r="W31" s="774">
        <f t="shared" si="14"/>
        <v>100</v>
      </c>
      <c r="X31" s="1815"/>
      <c r="Y31" s="3215"/>
      <c r="Z31" s="1816">
        <f t="shared" si="15"/>
        <v>0</v>
      </c>
      <c r="AA31" s="1813">
        <f t="shared" si="3"/>
        <v>1</v>
      </c>
      <c r="AB31" s="1813">
        <f t="shared" si="4"/>
        <v>1</v>
      </c>
      <c r="AC31" s="1813">
        <f t="shared" si="5"/>
        <v>1</v>
      </c>
    </row>
    <row r="32" spans="1:29" ht="15">
      <c r="A32" s="440" t="s">
        <v>2544</v>
      </c>
      <c r="B32" s="71" t="s">
        <v>2641</v>
      </c>
      <c r="C32" s="2614" t="s">
        <v>3253</v>
      </c>
      <c r="D32" s="467">
        <v>100</v>
      </c>
      <c r="E32" s="2614" t="s">
        <v>3255</v>
      </c>
      <c r="F32" s="461">
        <f>SUMIF(100:100,E32,101:101)-SUMIF(100:100,C32,101:101)+100</f>
        <v>95</v>
      </c>
      <c r="G32" s="2614" t="s">
        <v>3251</v>
      </c>
      <c r="H32" s="435">
        <f>SUMIF(100:100,G32,101:101)-SUMIF(100:100,C32,101:101)+100</f>
        <v>105</v>
      </c>
      <c r="I32" s="2614" t="s">
        <v>3255</v>
      </c>
      <c r="J32" s="467">
        <f>SUMIF(100:100,I32,101:101)-SUMIF(100:100,C32,101:101)+100</f>
        <v>95</v>
      </c>
      <c r="K32" s="612">
        <v>5</v>
      </c>
      <c r="L32" s="1141"/>
      <c r="M32" s="1132"/>
      <c r="N32" s="1132"/>
      <c r="O32" s="1132"/>
      <c r="P32" s="3216" t="s">
        <v>2546</v>
      </c>
      <c r="Q32" s="1812" t="str">
        <f t="shared" si="11"/>
        <v>商业类型</v>
      </c>
      <c r="R32" s="773" t="s">
        <v>17</v>
      </c>
      <c r="S32" s="774">
        <f t="shared" si="12"/>
        <v>95</v>
      </c>
      <c r="T32" s="773" t="s">
        <v>17</v>
      </c>
      <c r="U32" s="774">
        <f t="shared" si="13"/>
        <v>105</v>
      </c>
      <c r="V32" s="773" t="s">
        <v>17</v>
      </c>
      <c r="W32" s="774">
        <f t="shared" si="14"/>
        <v>95</v>
      </c>
      <c r="X32" s="1815"/>
      <c r="Y32" s="3219" t="s">
        <v>2546</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2547</v>
      </c>
      <c r="C33" s="469">
        <f>'数据-汇总表'!F20</f>
        <v>0</v>
      </c>
      <c r="D33" s="136">
        <v>100</v>
      </c>
      <c r="E33" s="430">
        <v>150</v>
      </c>
      <c r="F33" s="425">
        <f>LOOKUP(E33,103:103,104:104)-LOOKUP(C33,103:103,104:104)+100</f>
        <v>97</v>
      </c>
      <c r="G33" s="429">
        <v>1420</v>
      </c>
      <c r="H33" s="136">
        <f>LOOKUP(G33,103:103,104:104)-LOOKUP(C33,103:103,104:104)+100</f>
        <v>88</v>
      </c>
      <c r="I33" s="429">
        <v>300</v>
      </c>
      <c r="J33" s="136">
        <f>LOOKUP(I33,103:103,104:104)-LOOKUP(C33,103:103,104:104)+100</f>
        <v>94</v>
      </c>
      <c r="K33" s="613"/>
      <c r="L33" s="1139"/>
      <c r="M33" s="1142"/>
      <c r="N33" s="1142"/>
      <c r="O33" s="1142"/>
      <c r="P33" s="3217"/>
      <c r="Q33" s="775" t="str">
        <f t="shared" si="11"/>
        <v>项目建筑规模</v>
      </c>
      <c r="R33" s="776" t="s">
        <v>17</v>
      </c>
      <c r="S33" s="777">
        <f t="shared" si="12"/>
        <v>97</v>
      </c>
      <c r="T33" s="776" t="s">
        <v>17</v>
      </c>
      <c r="U33" s="777">
        <f t="shared" si="13"/>
        <v>88</v>
      </c>
      <c r="V33" s="776" t="s">
        <v>17</v>
      </c>
      <c r="W33" s="777">
        <f t="shared" si="14"/>
        <v>94</v>
      </c>
      <c r="X33" s="778"/>
      <c r="Y33" s="3219"/>
      <c r="Z33" s="779" t="str">
        <f t="shared" si="15"/>
        <v>项目建筑规模</v>
      </c>
      <c r="AA33" s="1813">
        <f t="shared" si="3"/>
        <v>1.0309278350515463</v>
      </c>
      <c r="AB33" s="1813">
        <f t="shared" si="4"/>
        <v>1.1363636363636365</v>
      </c>
      <c r="AC33" s="1813">
        <f t="shared" si="5"/>
        <v>1.0638297872340425</v>
      </c>
    </row>
    <row r="34" spans="1:29" ht="15">
      <c r="A34" s="472"/>
      <c r="B34" s="422" t="s">
        <v>2548</v>
      </c>
      <c r="C34" s="2616" t="s">
        <v>3117</v>
      </c>
      <c r="D34" s="435">
        <v>100</v>
      </c>
      <c r="E34" s="2616" t="s">
        <v>3117</v>
      </c>
      <c r="F34" s="461">
        <f>SUMIF(105:105,E34,106:106)-SUMIF(105:105,C34,106:106)+100</f>
        <v>100</v>
      </c>
      <c r="G34" s="2616" t="s">
        <v>3117</v>
      </c>
      <c r="H34" s="435">
        <f>SUMIF(105:105,G34,106:106)-SUMIF(105:105,C34,106:106)+100</f>
        <v>100</v>
      </c>
      <c r="I34" s="2616" t="s">
        <v>3117</v>
      </c>
      <c r="J34" s="435">
        <f>SUMIF(105:105,I34,106:106)-SUMIF(105:105,C34,106:106)+100</f>
        <v>100</v>
      </c>
      <c r="K34" s="612">
        <v>2</v>
      </c>
      <c r="L34" s="1141"/>
      <c r="M34" s="1132"/>
      <c r="N34" s="1132"/>
      <c r="O34" s="1132"/>
      <c r="P34" s="3217"/>
      <c r="Q34" s="1812" t="str">
        <f t="shared" si="11"/>
        <v>建筑结构</v>
      </c>
      <c r="R34" s="773" t="s">
        <v>17</v>
      </c>
      <c r="S34" s="774">
        <f t="shared" si="12"/>
        <v>100</v>
      </c>
      <c r="T34" s="773" t="s">
        <v>17</v>
      </c>
      <c r="U34" s="774">
        <f t="shared" si="13"/>
        <v>100</v>
      </c>
      <c r="V34" s="773" t="s">
        <v>17</v>
      </c>
      <c r="W34" s="774">
        <f t="shared" si="14"/>
        <v>100</v>
      </c>
      <c r="X34" s="1815"/>
      <c r="Y34" s="3219"/>
      <c r="Z34" s="1816" t="str">
        <f t="shared" si="15"/>
        <v>建筑结构</v>
      </c>
      <c r="AA34" s="1813">
        <f t="shared" si="3"/>
        <v>1</v>
      </c>
      <c r="AB34" s="1813">
        <f t="shared" si="4"/>
        <v>1</v>
      </c>
      <c r="AC34" s="1813">
        <f t="shared" si="5"/>
        <v>1</v>
      </c>
    </row>
    <row r="35" spans="1:29" ht="15" hidden="1">
      <c r="A35" s="472"/>
      <c r="B35" s="422" t="s">
        <v>2642</v>
      </c>
      <c r="C35" s="2610" t="s">
        <v>3151</v>
      </c>
      <c r="D35" s="435">
        <v>100</v>
      </c>
      <c r="E35" s="2610" t="s">
        <v>3151</v>
      </c>
      <c r="F35" s="461">
        <f>SUMIF(107:107,E35,108:108)-SUMIF(107:107,C35,108:108)+100</f>
        <v>100</v>
      </c>
      <c r="G35" s="2610" t="s">
        <v>3151</v>
      </c>
      <c r="H35" s="435">
        <f>SUMIF(107:107,G35,108:108)-SUMIF(107:107,C35,108:108)+100</f>
        <v>100</v>
      </c>
      <c r="I35" s="2610" t="s">
        <v>3151</v>
      </c>
      <c r="J35" s="435">
        <f>SUMIF(107:107,I35,108:108)-SUMIF(107:107,C35,108:108)+100</f>
        <v>100</v>
      </c>
      <c r="K35" s="612"/>
      <c r="L35" s="1141"/>
      <c r="M35" s="1132"/>
      <c r="N35" s="1132"/>
      <c r="O35" s="1132"/>
      <c r="P35" s="3217"/>
      <c r="Q35" s="1812" t="str">
        <f t="shared" si="11"/>
        <v>公共部分装修</v>
      </c>
      <c r="R35" s="773" t="s">
        <v>17</v>
      </c>
      <c r="S35" s="774">
        <f t="shared" si="12"/>
        <v>100</v>
      </c>
      <c r="T35" s="773" t="s">
        <v>17</v>
      </c>
      <c r="U35" s="774">
        <f t="shared" si="13"/>
        <v>100</v>
      </c>
      <c r="V35" s="773" t="s">
        <v>17</v>
      </c>
      <c r="W35" s="774">
        <f t="shared" si="14"/>
        <v>100</v>
      </c>
      <c r="X35" s="1815"/>
      <c r="Y35" s="3219"/>
      <c r="Z35" s="1816" t="str">
        <f t="shared" si="15"/>
        <v>公共部分装修</v>
      </c>
      <c r="AA35" s="1813">
        <f t="shared" si="3"/>
        <v>1</v>
      </c>
      <c r="AB35" s="1813">
        <f t="shared" si="4"/>
        <v>1</v>
      </c>
      <c r="AC35" s="1813">
        <f t="shared" si="5"/>
        <v>1</v>
      </c>
    </row>
    <row r="36" spans="1:29" ht="15">
      <c r="A36" s="472"/>
      <c r="B36" s="422" t="s">
        <v>2643</v>
      </c>
      <c r="C36" s="474">
        <f>'数据-取费表'!N6</f>
        <v>0.9</v>
      </c>
      <c r="D36" s="435">
        <v>100</v>
      </c>
      <c r="E36" s="474">
        <v>1</v>
      </c>
      <c r="F36" s="461">
        <f>LOOKUP(E36,110:110,111:111)-LOOKUP(C36,110:110,111:111)+100</f>
        <v>100</v>
      </c>
      <c r="G36" s="474">
        <v>0.95</v>
      </c>
      <c r="H36" s="461">
        <f>LOOKUP(G36,110:110,111:111)-LOOKUP(C36,110:110,111:111)+100</f>
        <v>100</v>
      </c>
      <c r="I36" s="474">
        <v>1</v>
      </c>
      <c r="J36" s="435">
        <f>LOOKUP(I36,110:110,111:111)-LOOKUP(C36,110:110,111:111)+100</f>
        <v>100</v>
      </c>
      <c r="K36" s="612">
        <v>1</v>
      </c>
      <c r="L36" s="1141"/>
      <c r="M36" s="1132"/>
      <c r="N36" s="1132"/>
      <c r="O36" s="1132"/>
      <c r="P36" s="3217"/>
      <c r="Q36" s="1812" t="str">
        <f t="shared" si="11"/>
        <v>成新度</v>
      </c>
      <c r="R36" s="773" t="s">
        <v>17</v>
      </c>
      <c r="S36" s="774">
        <f t="shared" si="12"/>
        <v>100</v>
      </c>
      <c r="T36" s="773" t="s">
        <v>17</v>
      </c>
      <c r="U36" s="774">
        <f t="shared" si="13"/>
        <v>100</v>
      </c>
      <c r="V36" s="773" t="s">
        <v>17</v>
      </c>
      <c r="W36" s="774">
        <f t="shared" si="14"/>
        <v>100</v>
      </c>
      <c r="X36" s="1815"/>
      <c r="Y36" s="3219"/>
      <c r="Z36" s="1816" t="str">
        <f t="shared" si="15"/>
        <v>成新度</v>
      </c>
      <c r="AA36" s="1813">
        <f t="shared" si="3"/>
        <v>1</v>
      </c>
      <c r="AB36" s="1813">
        <f t="shared" si="4"/>
        <v>1</v>
      </c>
      <c r="AC36" s="1813">
        <f t="shared" si="5"/>
        <v>1</v>
      </c>
    </row>
    <row r="37" spans="1:29" s="117" customFormat="1" ht="15">
      <c r="A37" s="473"/>
      <c r="B37" s="422" t="s">
        <v>2644</v>
      </c>
      <c r="C37" s="2610" t="s">
        <v>3167</v>
      </c>
      <c r="D37" s="136">
        <v>100</v>
      </c>
      <c r="E37" s="2610" t="s">
        <v>3123</v>
      </c>
      <c r="F37" s="461">
        <f>SUMIF(112:112,E37,113:113)-SUMIF(112:112,C37,113:113)+100</f>
        <v>102</v>
      </c>
      <c r="G37" s="2610" t="s">
        <v>3123</v>
      </c>
      <c r="H37" s="435">
        <f>SUMIF(112:112,G37,113:113)-SUMIF(112:112,C37,113:113)+100</f>
        <v>102</v>
      </c>
      <c r="I37" s="2610" t="s">
        <v>3123</v>
      </c>
      <c r="J37" s="435">
        <f>SUMIF(112:112,I37,113:113)-SUMIF(112:112,C37,113:113)+100</f>
        <v>102</v>
      </c>
      <c r="K37" s="612">
        <v>1</v>
      </c>
      <c r="L37" s="1133"/>
      <c r="M37" s="1134"/>
      <c r="N37" s="1134"/>
      <c r="O37" s="1134"/>
      <c r="P37" s="3217"/>
      <c r="Q37" s="1797" t="str">
        <f t="shared" si="11"/>
        <v>市政基础设施</v>
      </c>
      <c r="R37" s="769" t="s">
        <v>17</v>
      </c>
      <c r="S37" s="770">
        <f t="shared" si="12"/>
        <v>102</v>
      </c>
      <c r="T37" s="769" t="s">
        <v>17</v>
      </c>
      <c r="U37" s="770">
        <f t="shared" si="13"/>
        <v>102</v>
      </c>
      <c r="V37" s="769" t="s">
        <v>17</v>
      </c>
      <c r="W37" s="770">
        <f t="shared" si="14"/>
        <v>102</v>
      </c>
      <c r="X37" s="771"/>
      <c r="Y37" s="3219"/>
      <c r="Z37" s="55" t="str">
        <f t="shared" si="15"/>
        <v>市政基础设施</v>
      </c>
      <c r="AA37" s="772">
        <f t="shared" si="3"/>
        <v>0.98039215686274506</v>
      </c>
      <c r="AB37" s="772">
        <f t="shared" si="4"/>
        <v>0.98039215686274506</v>
      </c>
      <c r="AC37" s="772">
        <f t="shared" si="5"/>
        <v>0.98039215686274506</v>
      </c>
    </row>
    <row r="38" spans="1:29" ht="15">
      <c r="A38" s="472"/>
      <c r="B38" s="422" t="s">
        <v>2645</v>
      </c>
      <c r="C38" s="2610" t="s">
        <v>3214</v>
      </c>
      <c r="D38" s="435">
        <v>100</v>
      </c>
      <c r="E38" s="2610" t="s">
        <v>3214</v>
      </c>
      <c r="F38" s="461">
        <f>SUMIF(114:114,E38,115:115)-SUMIF(114:114,C38,115:115)+100</f>
        <v>100</v>
      </c>
      <c r="G38" s="2610" t="s">
        <v>3214</v>
      </c>
      <c r="H38" s="435">
        <f>SUMIF(114:114,G38,115:115)-SUMIF(114:114,C38,115:115)+100</f>
        <v>100</v>
      </c>
      <c r="I38" s="2610" t="s">
        <v>3216</v>
      </c>
      <c r="J38" s="435">
        <f>SUMIF(114:114,I38,115:115)-SUMIF(114:114,C38,115:115)+100</f>
        <v>95</v>
      </c>
      <c r="K38" s="612">
        <v>5</v>
      </c>
      <c r="L38" s="1141"/>
      <c r="M38" s="1132"/>
      <c r="N38" s="1132"/>
      <c r="O38" s="1132"/>
      <c r="P38" s="3217" t="s">
        <v>2546</v>
      </c>
      <c r="Q38" s="1812" t="str">
        <f t="shared" si="11"/>
        <v>业态</v>
      </c>
      <c r="R38" s="773" t="s">
        <v>17</v>
      </c>
      <c r="S38" s="774">
        <f t="shared" si="12"/>
        <v>100</v>
      </c>
      <c r="T38" s="773" t="s">
        <v>17</v>
      </c>
      <c r="U38" s="774">
        <f t="shared" si="13"/>
        <v>100</v>
      </c>
      <c r="V38" s="773" t="s">
        <v>17</v>
      </c>
      <c r="W38" s="774">
        <f t="shared" si="14"/>
        <v>95</v>
      </c>
      <c r="X38" s="1815"/>
      <c r="Y38" s="3219" t="s">
        <v>2546</v>
      </c>
      <c r="Z38" s="1816" t="str">
        <f t="shared" si="15"/>
        <v>业态</v>
      </c>
      <c r="AA38" s="1813">
        <f t="shared" si="3"/>
        <v>1</v>
      </c>
      <c r="AB38" s="1813">
        <f t="shared" si="4"/>
        <v>1</v>
      </c>
      <c r="AC38" s="1813">
        <f t="shared" si="5"/>
        <v>1.0526315789473684</v>
      </c>
    </row>
    <row r="39" spans="1:29" ht="15">
      <c r="A39" s="472"/>
      <c r="B39" s="422" t="s">
        <v>2646</v>
      </c>
      <c r="C39" s="2610" t="s">
        <v>3172</v>
      </c>
      <c r="D39" s="435">
        <v>100</v>
      </c>
      <c r="E39" s="2610" t="s">
        <v>3172</v>
      </c>
      <c r="F39" s="461">
        <f>SUMIF(116:116,E39,117:117)-SUMIF(116:116,C39,117:117)+100</f>
        <v>100</v>
      </c>
      <c r="G39" s="2610" t="s">
        <v>3172</v>
      </c>
      <c r="H39" s="435">
        <f>SUMIF(116:116,G39,117:117)-SUMIF(116:116,C39,117:117)+100</f>
        <v>100</v>
      </c>
      <c r="I39" s="2610" t="s">
        <v>3172</v>
      </c>
      <c r="J39" s="435">
        <f>SUMIF(116:116,I39,117:117)-SUMIF(116:116,C39,117:117)+100</f>
        <v>100</v>
      </c>
      <c r="K39" s="612">
        <v>2</v>
      </c>
      <c r="L39" s="1141"/>
      <c r="M39" s="1132"/>
      <c r="N39" s="1132"/>
      <c r="O39" s="1132"/>
      <c r="P39" s="3217"/>
      <c r="Q39" s="1812" t="str">
        <f t="shared" si="11"/>
        <v>层高</v>
      </c>
      <c r="R39" s="773" t="s">
        <v>17</v>
      </c>
      <c r="S39" s="774">
        <f t="shared" si="12"/>
        <v>100</v>
      </c>
      <c r="T39" s="773" t="s">
        <v>17</v>
      </c>
      <c r="U39" s="774">
        <f t="shared" si="13"/>
        <v>100</v>
      </c>
      <c r="V39" s="773" t="s">
        <v>17</v>
      </c>
      <c r="W39" s="774">
        <f t="shared" si="14"/>
        <v>100</v>
      </c>
      <c r="X39" s="1815"/>
      <c r="Y39" s="3219"/>
      <c r="Z39" s="1816" t="str">
        <f t="shared" si="15"/>
        <v>层高</v>
      </c>
      <c r="AA39" s="1813">
        <f t="shared" si="3"/>
        <v>1</v>
      </c>
      <c r="AB39" s="1813">
        <f t="shared" si="4"/>
        <v>1</v>
      </c>
      <c r="AC39" s="1813">
        <f t="shared" si="5"/>
        <v>1</v>
      </c>
    </row>
    <row r="40" spans="1:29" ht="15" hidden="1">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7"/>
      <c r="Q40" s="1812" t="str">
        <f t="shared" si="11"/>
        <v>单套建筑面积</v>
      </c>
      <c r="R40" s="773" t="s">
        <v>17</v>
      </c>
      <c r="S40" s="774">
        <f t="shared" si="12"/>
        <v>100</v>
      </c>
      <c r="T40" s="773" t="s">
        <v>17</v>
      </c>
      <c r="U40" s="774">
        <f t="shared" si="13"/>
        <v>100</v>
      </c>
      <c r="V40" s="773" t="s">
        <v>17</v>
      </c>
      <c r="W40" s="774">
        <f t="shared" si="14"/>
        <v>100</v>
      </c>
      <c r="X40" s="1815"/>
      <c r="Y40" s="3219"/>
      <c r="Z40" s="1816" t="str">
        <f t="shared" si="15"/>
        <v>单套建筑面积</v>
      </c>
      <c r="AA40" s="1813">
        <f t="shared" si="3"/>
        <v>1</v>
      </c>
      <c r="AB40" s="1813">
        <f t="shared" si="4"/>
        <v>1</v>
      </c>
      <c r="AC40" s="1813">
        <f t="shared" si="5"/>
        <v>1</v>
      </c>
    </row>
    <row r="41" spans="1:29" s="471" customFormat="1" ht="15" hidden="1">
      <c r="A41" s="468"/>
      <c r="B41" s="1814"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7"/>
      <c r="Q41" s="775" t="str">
        <f t="shared" si="11"/>
        <v>进深比</v>
      </c>
      <c r="R41" s="776" t="s">
        <v>17</v>
      </c>
      <c r="S41" s="777">
        <f t="shared" si="12"/>
        <v>100</v>
      </c>
      <c r="T41" s="776" t="s">
        <v>17</v>
      </c>
      <c r="U41" s="777">
        <f t="shared" si="13"/>
        <v>100</v>
      </c>
      <c r="V41" s="776" t="s">
        <v>17</v>
      </c>
      <c r="W41" s="777">
        <f t="shared" si="14"/>
        <v>100</v>
      </c>
      <c r="X41" s="778"/>
      <c r="Y41" s="3219"/>
      <c r="Z41" s="779" t="str">
        <f t="shared" si="15"/>
        <v>进深比</v>
      </c>
      <c r="AA41" s="1813">
        <f t="shared" si="3"/>
        <v>1</v>
      </c>
      <c r="AB41" s="1813">
        <f t="shared" si="4"/>
        <v>1</v>
      </c>
      <c r="AC41" s="1813">
        <f t="shared" si="5"/>
        <v>1</v>
      </c>
    </row>
    <row r="42" spans="1:29" ht="15">
      <c r="A42" s="472"/>
      <c r="B42" s="422" t="s">
        <v>2649</v>
      </c>
      <c r="C42" s="2610" t="s">
        <v>3151</v>
      </c>
      <c r="D42" s="435">
        <v>100</v>
      </c>
      <c r="E42" s="2610" t="s">
        <v>3154</v>
      </c>
      <c r="F42" s="461">
        <f>SUMIF(122:122,E42,123:123)-SUMIF(122:122,C42,123:123)+100</f>
        <v>96</v>
      </c>
      <c r="G42" s="2610" t="s">
        <v>3151</v>
      </c>
      <c r="H42" s="435">
        <f>SUMIF(122:122,G42,123:123)-SUMIF(122:122,C42,123:123)+100</f>
        <v>100</v>
      </c>
      <c r="I42" s="2610" t="s">
        <v>3154</v>
      </c>
      <c r="J42" s="435">
        <f>SUMIF(122:122,I42,123:123)-SUMIF(122:122,C42,123:123)+100</f>
        <v>96</v>
      </c>
      <c r="K42" s="612">
        <f>'比较法-办公'!K43</f>
        <v>2</v>
      </c>
      <c r="L42" s="1141"/>
      <c r="M42" s="1132"/>
      <c r="N42" s="1132"/>
      <c r="O42" s="1132"/>
      <c r="P42" s="3217"/>
      <c r="Q42" s="1812" t="str">
        <f t="shared" si="11"/>
        <v>内部装修</v>
      </c>
      <c r="R42" s="773" t="s">
        <v>17</v>
      </c>
      <c r="S42" s="774">
        <f t="shared" si="12"/>
        <v>96</v>
      </c>
      <c r="T42" s="773" t="s">
        <v>17</v>
      </c>
      <c r="U42" s="774">
        <f t="shared" si="13"/>
        <v>100</v>
      </c>
      <c r="V42" s="773" t="s">
        <v>17</v>
      </c>
      <c r="W42" s="774">
        <f t="shared" si="14"/>
        <v>96</v>
      </c>
      <c r="X42" s="1815"/>
      <c r="Y42" s="3219"/>
      <c r="Z42" s="1816" t="str">
        <f t="shared" si="15"/>
        <v>内部装修</v>
      </c>
      <c r="AA42" s="1813">
        <f t="shared" si="3"/>
        <v>1.0416666666666667</v>
      </c>
      <c r="AB42" s="1813">
        <f t="shared" si="4"/>
        <v>1</v>
      </c>
      <c r="AC42" s="1813">
        <f t="shared" si="5"/>
        <v>1.0416666666666667</v>
      </c>
    </row>
    <row r="43" spans="1:29" ht="15">
      <c r="A43" s="472"/>
      <c r="B43" s="422" t="s">
        <v>2557</v>
      </c>
      <c r="C43" s="2610" t="s">
        <v>3133</v>
      </c>
      <c r="D43" s="435">
        <v>100</v>
      </c>
      <c r="E43" s="2610" t="s">
        <v>3133</v>
      </c>
      <c r="F43" s="461">
        <f>SUMIF(124:124,E43,125:125)-SUMIF(124:124,C43,125:125)+100</f>
        <v>100</v>
      </c>
      <c r="G43" s="2610" t="s">
        <v>3133</v>
      </c>
      <c r="H43" s="435">
        <f>SUMIF(124:124,G43,125:125)-SUMIF(124:124,C43,125:125)+100</f>
        <v>100</v>
      </c>
      <c r="I43" s="2610" t="s">
        <v>3133</v>
      </c>
      <c r="J43" s="435">
        <f>SUMIF(124:124,I43,125:125)-SUMIF(124:124,C43,125:125)+100</f>
        <v>100</v>
      </c>
      <c r="K43" s="612">
        <v>1</v>
      </c>
      <c r="L43" s="1141"/>
      <c r="M43" s="1132"/>
      <c r="N43" s="1132"/>
      <c r="O43" s="1132"/>
      <c r="P43" s="3217"/>
      <c r="Q43" s="1812" t="str">
        <f t="shared" si="11"/>
        <v>内部装修维护情况</v>
      </c>
      <c r="R43" s="773" t="s">
        <v>17</v>
      </c>
      <c r="S43" s="774">
        <f t="shared" si="12"/>
        <v>100</v>
      </c>
      <c r="T43" s="773" t="s">
        <v>17</v>
      </c>
      <c r="U43" s="774">
        <f t="shared" si="13"/>
        <v>100</v>
      </c>
      <c r="V43" s="773" t="s">
        <v>17</v>
      </c>
      <c r="W43" s="774">
        <f t="shared" si="14"/>
        <v>100</v>
      </c>
      <c r="X43" s="1815"/>
      <c r="Y43" s="3219"/>
      <c r="Z43" s="1816" t="str">
        <f t="shared" si="15"/>
        <v>内部装修维护情况</v>
      </c>
      <c r="AA43" s="1813">
        <f t="shared" si="3"/>
        <v>1</v>
      </c>
      <c r="AB43" s="1813">
        <f t="shared" si="4"/>
        <v>1</v>
      </c>
      <c r="AC43" s="1813">
        <f t="shared" si="5"/>
        <v>1</v>
      </c>
    </row>
    <row r="44" spans="1:29" s="117" customFormat="1" ht="15.75" thickBot="1">
      <c r="A44" s="473"/>
      <c r="B44" s="2996" t="s">
        <v>3203</v>
      </c>
      <c r="C44" s="2997" t="s">
        <v>3261</v>
      </c>
      <c r="D44" s="136">
        <v>100</v>
      </c>
      <c r="E44" s="3008" t="s">
        <v>3264</v>
      </c>
      <c r="F44" s="425">
        <f>SUMIF(126:126,E44,127:127)-SUMIF(126:126,C44,127:127)+100</f>
        <v>95</v>
      </c>
      <c r="G44" s="3008" t="s">
        <v>3262</v>
      </c>
      <c r="H44" s="136">
        <f>SUMIF(126:126,G44,127:127)-SUMIF(126:126,C44,127:127)+100</f>
        <v>100</v>
      </c>
      <c r="I44" s="3008" t="s">
        <v>3205</v>
      </c>
      <c r="J44" s="136">
        <f>SUMIF(126:126,I44,127:127)-SUMIF(126:126,C44,127:127)+100</f>
        <v>95</v>
      </c>
      <c r="K44" s="613"/>
      <c r="L44" s="1133"/>
      <c r="M44" s="1134"/>
      <c r="N44" s="1134"/>
      <c r="O44" s="1134"/>
      <c r="P44" s="3217"/>
      <c r="Q44" s="1797" t="str">
        <f t="shared" si="11"/>
        <v>房屋状态</v>
      </c>
      <c r="R44" s="769" t="s">
        <v>17</v>
      </c>
      <c r="S44" s="770">
        <f t="shared" si="12"/>
        <v>95</v>
      </c>
      <c r="T44" s="769" t="s">
        <v>17</v>
      </c>
      <c r="U44" s="770">
        <f t="shared" si="13"/>
        <v>100</v>
      </c>
      <c r="V44" s="769" t="s">
        <v>17</v>
      </c>
      <c r="W44" s="770">
        <f t="shared" si="14"/>
        <v>95</v>
      </c>
      <c r="X44" s="771"/>
      <c r="Y44" s="3219"/>
      <c r="Z44" s="55" t="str">
        <f t="shared" si="15"/>
        <v>房屋状态</v>
      </c>
      <c r="AA44" s="772">
        <f t="shared" si="3"/>
        <v>1.0526315789473684</v>
      </c>
      <c r="AB44" s="772">
        <f t="shared" si="4"/>
        <v>1</v>
      </c>
      <c r="AC44" s="772">
        <f t="shared" si="5"/>
        <v>1.0526315789473684</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7"/>
      <c r="Q45" s="1812">
        <f t="shared" si="11"/>
        <v>0</v>
      </c>
      <c r="R45" s="773" t="s">
        <v>17</v>
      </c>
      <c r="S45" s="774">
        <f t="shared" si="12"/>
        <v>100</v>
      </c>
      <c r="T45" s="773" t="s">
        <v>17</v>
      </c>
      <c r="U45" s="774">
        <f t="shared" si="13"/>
        <v>100</v>
      </c>
      <c r="V45" s="773" t="s">
        <v>17</v>
      </c>
      <c r="W45" s="774">
        <f t="shared" si="14"/>
        <v>100</v>
      </c>
      <c r="X45" s="1815"/>
      <c r="Y45" s="3219"/>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8"/>
      <c r="Q46" s="1812">
        <f t="shared" si="11"/>
        <v>0</v>
      </c>
      <c r="R46" s="773" t="s">
        <v>17</v>
      </c>
      <c r="S46" s="774">
        <f t="shared" si="12"/>
        <v>100</v>
      </c>
      <c r="T46" s="773" t="s">
        <v>17</v>
      </c>
      <c r="U46" s="774">
        <f t="shared" si="13"/>
        <v>100</v>
      </c>
      <c r="V46" s="773" t="s">
        <v>17</v>
      </c>
      <c r="W46" s="774">
        <f t="shared" si="14"/>
        <v>100</v>
      </c>
      <c r="X46" s="1815"/>
      <c r="Y46" s="3220"/>
      <c r="Z46" s="1816">
        <f t="shared" si="15"/>
        <v>0</v>
      </c>
      <c r="AA46" s="1813">
        <f t="shared" si="3"/>
        <v>1</v>
      </c>
      <c r="AB46" s="1813">
        <f t="shared" si="4"/>
        <v>1</v>
      </c>
      <c r="AC46" s="1813">
        <f t="shared" si="5"/>
        <v>1</v>
      </c>
    </row>
    <row r="47" spans="1:29" ht="15">
      <c r="A47" s="479" t="s">
        <v>2558</v>
      </c>
      <c r="B47" s="480"/>
      <c r="C47" s="1408" t="s">
        <v>1</v>
      </c>
      <c r="D47" s="1409"/>
      <c r="E47" s="1410">
        <f>40000*0.98</f>
        <v>39200</v>
      </c>
      <c r="F47" s="1411"/>
      <c r="G47" s="1412">
        <f>ROUND(25000/D93*100*0.98,0)</f>
        <v>35000</v>
      </c>
      <c r="H47" s="1413"/>
      <c r="I47" s="1410">
        <f>32000*0.98</f>
        <v>31360</v>
      </c>
      <c r="J47" s="1413"/>
      <c r="K47" s="782"/>
      <c r="L47" s="1144"/>
      <c r="M47" s="1145"/>
      <c r="N47" s="1132"/>
      <c r="O47" s="1145"/>
      <c r="P47" s="3207" t="str">
        <f>A47</f>
        <v>成交单价（元/平方米）</v>
      </c>
      <c r="Q47" s="3207"/>
      <c r="R47" s="3241">
        <f>E47</f>
        <v>39200</v>
      </c>
      <c r="S47" s="3241"/>
      <c r="T47" s="3241">
        <f>G47</f>
        <v>35000</v>
      </c>
      <c r="U47" s="3241"/>
      <c r="V47" s="3241">
        <f>I47</f>
        <v>31360</v>
      </c>
      <c r="W47" s="3241"/>
      <c r="X47" s="758"/>
      <c r="Y47" s="780"/>
      <c r="Z47" s="758"/>
      <c r="AA47" s="758"/>
      <c r="AB47" s="758"/>
      <c r="AC47" s="758"/>
    </row>
    <row r="48" spans="1:29" ht="15.75" thickBot="1">
      <c r="A48" s="486" t="s">
        <v>2650</v>
      </c>
      <c r="B48" s="487"/>
      <c r="C48" s="1414">
        <f>R49</f>
        <v>41809</v>
      </c>
      <c r="D48" s="1415"/>
      <c r="E48" s="1416">
        <f>R48</f>
        <v>45748</v>
      </c>
      <c r="F48" s="1416"/>
      <c r="G48" s="1414">
        <f>T48</f>
        <v>40719</v>
      </c>
      <c r="H48" s="1415"/>
      <c r="I48" s="1416">
        <f>V48</f>
        <v>38959</v>
      </c>
      <c r="J48" s="1415"/>
      <c r="K48" s="783"/>
      <c r="L48" s="1144"/>
      <c r="M48" s="1145"/>
      <c r="N48" s="1132"/>
      <c r="O48" s="1145"/>
      <c r="P48" s="3207" t="str">
        <f>A48</f>
        <v>比较价值（元/平方米）</v>
      </c>
      <c r="Q48" s="3207"/>
      <c r="R48" s="3208">
        <f>IF(F1="售价",ROUND(PRODUCT(R47,AA7:AA46),0),ROUND(PRODUCT(R47,AA7:AA46),1))</f>
        <v>45748</v>
      </c>
      <c r="S48" s="3208"/>
      <c r="T48" s="3208">
        <f>IF(F1="售价",ROUND(PRODUCT(T47,AB7:AB46),0),ROUND(PRODUCT(T47,AB7:AB46),1))</f>
        <v>40719</v>
      </c>
      <c r="U48" s="3208"/>
      <c r="V48" s="3208">
        <f>IF(F1="售价",ROUND(PRODUCT(V47,AC7:AC46),0),ROUND(PRODUCT(V47,AC7:AC46),1))</f>
        <v>38959</v>
      </c>
      <c r="W48" s="3208"/>
      <c r="X48" s="758"/>
      <c r="Y48" s="758"/>
      <c r="Z48" s="758"/>
      <c r="AA48" s="758"/>
      <c r="AB48" s="758"/>
      <c r="AC48" s="758"/>
    </row>
    <row r="49" spans="1:29" ht="15.75" thickBot="1">
      <c r="A49" s="492" t="s">
        <v>3204</v>
      </c>
      <c r="B49" s="493"/>
      <c r="C49" s="1418">
        <f>R49</f>
        <v>41809</v>
      </c>
      <c r="D49" s="1418"/>
      <c r="E49" s="1418"/>
      <c r="F49" s="1418"/>
      <c r="G49" s="1418"/>
      <c r="H49" s="1418"/>
      <c r="I49" s="1418"/>
      <c r="J49" s="1418"/>
      <c r="K49" s="784"/>
      <c r="L49" s="1144"/>
      <c r="M49" s="1145"/>
      <c r="N49" s="1132"/>
      <c r="O49" s="1145"/>
      <c r="P49" s="3267" t="str">
        <f>A49</f>
        <v>估价对象1层商业用房的比较价值（楼面单价，元/平方米）</v>
      </c>
      <c r="Q49" s="3268"/>
      <c r="R49" s="3269">
        <f>IF(F1="售价",ROUND(AVERAGE(R48:V48),0),ROUND(AVERAGE(R48:V48),1))</f>
        <v>41809</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2652</v>
      </c>
      <c r="D52" s="498"/>
      <c r="E52" s="499">
        <f>IF(E47&lt;E48,E48/E47-1,E47/E48-1)</f>
        <v>0.16704081632653067</v>
      </c>
      <c r="F52" s="500" t="str">
        <f>IF(OR(E52&gt;=0.3,E52&lt;=-0.3),"超过30%","")</f>
        <v/>
      </c>
      <c r="G52" s="499">
        <f>IF(G47&lt;G48,G48/G47-1,G47/G48-1)</f>
        <v>0.16339999999999999</v>
      </c>
      <c r="H52" s="500" t="str">
        <f>IF(OR(G52&gt;=0.3,G52&lt;=-0.3),"超过30%","")</f>
        <v/>
      </c>
      <c r="I52" s="499">
        <f>IF(I47&lt;I48,I48/I47-1,I47/I48-1)</f>
        <v>0.24231505102040818</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2653</v>
      </c>
      <c r="D53" s="501"/>
      <c r="E53" s="499">
        <f>IF(E48&lt;G48,G48/E48-1,E48/G48-1)</f>
        <v>0.1235049976669369</v>
      </c>
      <c r="F53" s="500" t="str">
        <f>IF(OR(E53&gt;=0.2,E53&lt;=-0.2),"超过20%","")</f>
        <v/>
      </c>
      <c r="G53" s="499">
        <f>IF(G48&lt;I48,I48/G48-1,G48/I48-1)</f>
        <v>4.5175697528170744E-2</v>
      </c>
      <c r="H53" s="500" t="str">
        <f>IF(OR(G53&gt;=0.2,G53&lt;=-0.2),"超过20%","")</f>
        <v/>
      </c>
      <c r="I53" s="499">
        <f>IF(I48&lt;E48,E48/I48-1,I48/E48-1)</f>
        <v>0.17426011961292631</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2654</v>
      </c>
      <c r="D54" s="501"/>
      <c r="E54" s="499">
        <f>IF(E47&lt;G47,G47/E47-1,E47/G47-1)</f>
        <v>0.12000000000000011</v>
      </c>
      <c r="F54" s="500" t="str">
        <f>IF(OR(E54&gt;=0.3,E54&lt;=-0.3),"超过30%","")</f>
        <v/>
      </c>
      <c r="G54" s="499">
        <f>IF(G47&lt;I47,I47/G47-1,G47/I47-1)</f>
        <v>0.1160714285714286</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2655</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2529</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2531</v>
      </c>
      <c r="B61" s="510"/>
      <c r="C61" s="522" t="s">
        <v>2633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2539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2636</v>
      </c>
      <c r="C82" s="660" t="s">
        <v>2656</v>
      </c>
      <c r="D82" s="660" t="s">
        <v>2657</v>
      </c>
      <c r="E82" s="660" t="s">
        <v>2658</v>
      </c>
      <c r="F82" s="660" t="s">
        <v>2659</v>
      </c>
      <c r="G82" s="660" t="s">
        <v>2660</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2661</v>
      </c>
      <c r="C86" s="2984" t="s">
        <v>3229</v>
      </c>
      <c r="D86" s="2984" t="s">
        <v>3230</v>
      </c>
      <c r="E86" s="2984" t="s">
        <v>3231</v>
      </c>
      <c r="F86" s="2984" t="s">
        <v>3232</v>
      </c>
      <c r="G86" s="2984" t="s">
        <v>3233</v>
      </c>
      <c r="H86" s="554"/>
      <c r="I86" s="554"/>
      <c r="J86" s="554"/>
      <c r="K86" s="554"/>
      <c r="L86" s="580"/>
      <c r="M86" s="581"/>
      <c r="N86" s="1152"/>
      <c r="O86" s="1152"/>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7"/>
      <c r="Q87" s="504"/>
    </row>
    <row r="88" spans="1:17" s="117" customFormat="1" ht="15.75" thickTop="1">
      <c r="A88" s="579"/>
      <c r="B88" s="538" t="str">
        <f>B26</f>
        <v>平面位置/可视性</v>
      </c>
      <c r="C88" s="2984" t="s">
        <v>3234</v>
      </c>
      <c r="D88" s="2984" t="s">
        <v>3235</v>
      </c>
      <c r="E88" s="2984" t="s">
        <v>3236</v>
      </c>
      <c r="F88" s="3007" t="s">
        <v>3237</v>
      </c>
      <c r="G88" s="2984" t="s">
        <v>3238</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54"/>
      <c r="O89" s="1154"/>
      <c r="P89" s="2627"/>
      <c r="Q89" s="504"/>
    </row>
    <row r="90" spans="1:17" s="471" customFormat="1" ht="15.75" thickTop="1">
      <c r="A90" s="553"/>
      <c r="B90" s="538" t="str">
        <f>B27</f>
        <v>人流量</v>
      </c>
      <c r="C90" s="2984" t="s">
        <v>3239</v>
      </c>
      <c r="D90" s="2984" t="s">
        <v>3241</v>
      </c>
      <c r="E90" s="2984" t="s">
        <v>3242</v>
      </c>
      <c r="F90" s="2984" t="s">
        <v>3243</v>
      </c>
      <c r="G90" s="2984" t="s">
        <v>3244</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5"/>
      <c r="O91" s="1155"/>
      <c r="P91" s="2628"/>
      <c r="Q91" s="559"/>
    </row>
    <row r="92" spans="1:17" ht="15.75" thickTop="1">
      <c r="A92" s="534"/>
      <c r="B92" s="538" t="str">
        <f>B28</f>
        <v>楼层</v>
      </c>
      <c r="C92" s="554" t="s">
        <v>3245</v>
      </c>
      <c r="D92" s="554" t="s">
        <v>3246</v>
      </c>
      <c r="E92" s="554" t="s">
        <v>3247</v>
      </c>
      <c r="F92" s="554" t="s">
        <v>3248</v>
      </c>
      <c r="G92" s="554" t="s">
        <v>3249</v>
      </c>
      <c r="H92" s="554"/>
      <c r="I92" s="554"/>
      <c r="J92" s="554"/>
      <c r="K92" s="554"/>
      <c r="L92" s="580"/>
      <c r="M92" s="581"/>
      <c r="N92" s="1153"/>
      <c r="O92" s="1153"/>
      <c r="P92" s="2627"/>
      <c r="Q92" s="504"/>
    </row>
    <row r="93" spans="1:17" ht="15.75" thickBot="1">
      <c r="A93" s="534"/>
      <c r="B93" s="543"/>
      <c r="C93" s="536">
        <v>100</v>
      </c>
      <c r="D93" s="536">
        <v>70</v>
      </c>
      <c r="E93" s="536">
        <v>60</v>
      </c>
      <c r="F93" s="536">
        <v>60</v>
      </c>
      <c r="G93" s="536">
        <v>50</v>
      </c>
      <c r="H93" s="536"/>
      <c r="I93" s="536"/>
      <c r="J93" s="536"/>
      <c r="K93" s="536"/>
      <c r="L93" s="536"/>
      <c r="M93" s="537"/>
      <c r="N93" s="1154"/>
      <c r="O93" s="1154"/>
      <c r="P93" s="2627"/>
      <c r="Q93" s="504"/>
    </row>
    <row r="94" spans="1:17" ht="15.75" hidden="1" thickTop="1">
      <c r="A94" s="534"/>
      <c r="B94" s="538">
        <f>B29</f>
        <v>0</v>
      </c>
      <c r="C94" s="554"/>
      <c r="D94" s="554"/>
      <c r="E94" s="554"/>
      <c r="F94" s="554"/>
      <c r="G94" s="583"/>
      <c r="H94" s="583"/>
      <c r="I94" s="583"/>
      <c r="J94" s="583"/>
      <c r="K94" s="584"/>
      <c r="L94" s="585"/>
      <c r="M94" s="586"/>
      <c r="N94" s="1153"/>
      <c r="O94" s="1153"/>
      <c r="P94" s="2627"/>
      <c r="Q94" s="504"/>
    </row>
    <row r="95" spans="1:17" ht="15.75" hidden="1" thickBot="1">
      <c r="A95" s="534"/>
      <c r="B95" s="543"/>
      <c r="C95" s="560"/>
      <c r="D95" s="536"/>
      <c r="E95" s="536"/>
      <c r="F95" s="536"/>
      <c r="G95" s="536"/>
      <c r="H95" s="536"/>
      <c r="I95" s="536"/>
      <c r="J95" s="536"/>
      <c r="K95" s="536"/>
      <c r="L95" s="536"/>
      <c r="M95" s="537"/>
      <c r="N95" s="1154"/>
      <c r="O95" s="1154"/>
      <c r="P95" s="2627"/>
      <c r="Q95" s="504"/>
    </row>
    <row r="96" spans="1:17" ht="15.75" hidden="1" thickTop="1">
      <c r="A96" s="534"/>
      <c r="B96" s="538">
        <f>B30</f>
        <v>0</v>
      </c>
      <c r="C96" s="554"/>
      <c r="D96" s="554"/>
      <c r="E96" s="554"/>
      <c r="F96" s="554"/>
      <c r="G96" s="583"/>
      <c r="H96" s="583"/>
      <c r="I96" s="583"/>
      <c r="J96" s="583"/>
      <c r="K96" s="584"/>
      <c r="L96" s="585"/>
      <c r="M96" s="586"/>
      <c r="N96" s="1153"/>
      <c r="O96" s="1153"/>
      <c r="P96" s="2627"/>
      <c r="Q96" s="504"/>
    </row>
    <row r="97" spans="1:17" ht="15.75" hidden="1" thickBot="1">
      <c r="A97" s="534"/>
      <c r="B97" s="543"/>
      <c r="C97" s="560"/>
      <c r="D97" s="536"/>
      <c r="E97" s="536"/>
      <c r="F97" s="536"/>
      <c r="G97" s="536"/>
      <c r="H97" s="536"/>
      <c r="I97" s="536"/>
      <c r="J97" s="536"/>
      <c r="K97" s="536"/>
      <c r="L97" s="536"/>
      <c r="M97" s="537"/>
      <c r="N97" s="1154"/>
      <c r="O97" s="1154"/>
      <c r="P97" s="2627"/>
      <c r="Q97" s="504"/>
    </row>
    <row r="98" spans="1:17" ht="15.75" hidden="1" thickTop="1">
      <c r="A98" s="534"/>
      <c r="B98" s="546">
        <f>B31</f>
        <v>0</v>
      </c>
      <c r="C98" s="554"/>
      <c r="D98" s="554"/>
      <c r="E98" s="554"/>
      <c r="F98" s="554"/>
      <c r="G98" s="587"/>
      <c r="H98" s="587"/>
      <c r="I98" s="587"/>
      <c r="J98" s="587"/>
      <c r="K98" s="588"/>
      <c r="L98" s="589"/>
      <c r="M98" s="590"/>
      <c r="N98" s="1153"/>
      <c r="O98" s="1153"/>
      <c r="P98" s="2627"/>
      <c r="Q98" s="504"/>
    </row>
    <row r="99" spans="1:17" ht="15.75" hidden="1" thickBot="1">
      <c r="A99" s="2633"/>
      <c r="B99" s="569"/>
      <c r="C99" s="570"/>
      <c r="D99" s="570"/>
      <c r="E99" s="570"/>
      <c r="F99" s="570"/>
      <c r="G99" s="591"/>
      <c r="H99" s="591"/>
      <c r="I99" s="591"/>
      <c r="J99" s="591"/>
      <c r="K99" s="591"/>
      <c r="L99" s="591"/>
      <c r="M99" s="592"/>
      <c r="N99" s="1154"/>
      <c r="O99" s="1154"/>
      <c r="P99" s="2627"/>
      <c r="Q99" s="504"/>
    </row>
    <row r="100" spans="1:17" ht="15" thickTop="1">
      <c r="A100" s="527" t="s">
        <v>2544</v>
      </c>
      <c r="B100" s="528" t="s">
        <v>2662</v>
      </c>
      <c r="C100" s="2985" t="s">
        <v>3250</v>
      </c>
      <c r="D100" s="2985" t="s">
        <v>3252</v>
      </c>
      <c r="E100" s="2985" t="s">
        <v>3254</v>
      </c>
      <c r="F100" s="2985" t="s">
        <v>3256</v>
      </c>
      <c r="G100" s="530"/>
      <c r="H100" s="530"/>
      <c r="I100" s="530"/>
      <c r="J100" s="530"/>
      <c r="K100" s="531"/>
      <c r="L100" s="532"/>
      <c r="M100" s="533"/>
      <c r="N100" s="1153"/>
      <c r="O100" s="1153"/>
      <c r="P100" s="2627"/>
      <c r="Q100" s="504"/>
    </row>
    <row r="101" spans="1:17" ht="15.75" thickBot="1">
      <c r="A101" s="534"/>
      <c r="B101" s="543"/>
      <c r="C101" s="544">
        <v>100</v>
      </c>
      <c r="D101" s="544">
        <f t="shared" ref="D101:M101" si="23">C101-$K32</f>
        <v>95</v>
      </c>
      <c r="E101" s="544">
        <f t="shared" si="23"/>
        <v>90</v>
      </c>
      <c r="F101" s="544">
        <f t="shared" si="23"/>
        <v>85</v>
      </c>
      <c r="G101" s="544">
        <f t="shared" si="23"/>
        <v>80</v>
      </c>
      <c r="H101" s="544">
        <f t="shared" si="23"/>
        <v>75</v>
      </c>
      <c r="I101" s="544">
        <f t="shared" si="23"/>
        <v>70</v>
      </c>
      <c r="J101" s="544">
        <f t="shared" si="23"/>
        <v>65</v>
      </c>
      <c r="K101" s="544">
        <f t="shared" si="23"/>
        <v>60</v>
      </c>
      <c r="L101" s="544">
        <f t="shared" si="23"/>
        <v>55</v>
      </c>
      <c r="M101" s="545">
        <f t="shared" si="23"/>
        <v>50</v>
      </c>
      <c r="N101" s="1154"/>
      <c r="O101" s="1154"/>
      <c r="P101" s="2627"/>
      <c r="Q101" s="504"/>
    </row>
    <row r="102" spans="1:17" ht="15.75" thickTop="1">
      <c r="A102" s="534"/>
      <c r="B102" s="538" t="s">
        <v>2594</v>
      </c>
      <c r="C102" s="578" t="str">
        <f>C103&amp;"(含)"&amp;"-"&amp;D103</f>
        <v>0(含)-100</v>
      </c>
      <c r="D102" s="578" t="str">
        <f t="shared" ref="D102:L102" si="24">D103&amp;"(含)"&amp;"-"&amp;E103</f>
        <v>100(含)-200</v>
      </c>
      <c r="E102" s="578" t="str">
        <f t="shared" si="24"/>
        <v>200(含)-500</v>
      </c>
      <c r="F102" s="578" t="str">
        <f t="shared" si="24"/>
        <v>500(含)-1000</v>
      </c>
      <c r="G102" s="578" t="str">
        <f t="shared" si="24"/>
        <v>1000(含)-1500</v>
      </c>
      <c r="H102" s="578" t="str">
        <f t="shared" si="24"/>
        <v>1500(含)-</v>
      </c>
      <c r="I102" s="578" t="str">
        <f t="shared" si="24"/>
        <v>(含)-</v>
      </c>
      <c r="J102" s="578" t="str">
        <f t="shared" si="24"/>
        <v>(含)-</v>
      </c>
      <c r="K102" s="578" t="str">
        <f t="shared" si="24"/>
        <v>(含)-</v>
      </c>
      <c r="L102" s="578" t="str">
        <f t="shared" si="24"/>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5">D104-3</f>
        <v>94</v>
      </c>
      <c r="F104" s="536">
        <f t="shared" si="25"/>
        <v>91</v>
      </c>
      <c r="G104" s="536">
        <f t="shared" si="25"/>
        <v>88</v>
      </c>
      <c r="H104" s="536">
        <f t="shared" si="25"/>
        <v>85</v>
      </c>
      <c r="I104" s="536"/>
      <c r="J104" s="536"/>
      <c r="K104" s="536"/>
      <c r="L104" s="536"/>
      <c r="M104" s="537"/>
      <c r="N104" s="1154"/>
      <c r="O104" s="1154"/>
      <c r="P104" s="2628"/>
      <c r="Q104" s="559"/>
    </row>
    <row r="105" spans="1:17" ht="15" thickTop="1">
      <c r="A105" s="599"/>
      <c r="B105" s="538" t="s">
        <v>2595</v>
      </c>
      <c r="C105" s="2984" t="s">
        <v>3222</v>
      </c>
      <c r="D105" s="2984" t="s">
        <v>3223</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7"/>
      <c r="Q106" s="504"/>
    </row>
    <row r="107" spans="1:17" ht="15" thickTop="1">
      <c r="A107" s="599"/>
      <c r="B107" s="538" t="s">
        <v>2597</v>
      </c>
      <c r="C107" s="2984" t="s">
        <v>3208</v>
      </c>
      <c r="D107" s="2984" t="s">
        <v>3209</v>
      </c>
      <c r="E107" s="2984" t="s">
        <v>3210</v>
      </c>
      <c r="F107" s="2986" t="s">
        <v>3211</v>
      </c>
      <c r="G107" s="583"/>
      <c r="H107" s="583"/>
      <c r="I107" s="583"/>
      <c r="J107" s="583"/>
      <c r="K107" s="584"/>
      <c r="L107" s="585"/>
      <c r="M107" s="586"/>
      <c r="N107" s="1153"/>
      <c r="O107" s="1153"/>
      <c r="P107" s="2627"/>
      <c r="Q107" s="504"/>
    </row>
    <row r="108" spans="1:17" ht="15.75" thickBot="1">
      <c r="A108" s="534"/>
      <c r="B108" s="543"/>
      <c r="C108" s="544">
        <v>100</v>
      </c>
      <c r="D108" s="544">
        <f t="shared" ref="D108:M108" si="27">C108-$K35</f>
        <v>100</v>
      </c>
      <c r="E108" s="544">
        <f t="shared" si="27"/>
        <v>100</v>
      </c>
      <c r="F108" s="544">
        <f t="shared" si="27"/>
        <v>100</v>
      </c>
      <c r="G108" s="544">
        <f t="shared" si="27"/>
        <v>100</v>
      </c>
      <c r="H108" s="544">
        <f t="shared" si="27"/>
        <v>100</v>
      </c>
      <c r="I108" s="544">
        <f t="shared" si="27"/>
        <v>100</v>
      </c>
      <c r="J108" s="544">
        <f t="shared" si="27"/>
        <v>100</v>
      </c>
      <c r="K108" s="544">
        <f t="shared" si="27"/>
        <v>100</v>
      </c>
      <c r="L108" s="544">
        <f t="shared" si="27"/>
        <v>100</v>
      </c>
      <c r="M108" s="545">
        <f t="shared" si="27"/>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27"/>
      <c r="Q111" s="504"/>
    </row>
    <row r="112" spans="1:17" s="471" customFormat="1" ht="15" thickTop="1">
      <c r="A112" s="593"/>
      <c r="B112" s="538" t="s">
        <v>2599</v>
      </c>
      <c r="C112" s="2984" t="s">
        <v>3218</v>
      </c>
      <c r="D112" s="2984" t="s">
        <v>3219</v>
      </c>
      <c r="E112" s="2984" t="s">
        <v>3220</v>
      </c>
      <c r="F112" s="2984" t="s">
        <v>3221</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8"/>
      <c r="Q113" s="559"/>
    </row>
    <row r="114" spans="1:17" ht="15" thickTop="1">
      <c r="A114" s="599"/>
      <c r="B114" s="538" t="s">
        <v>2663</v>
      </c>
      <c r="C114" s="2984" t="s">
        <v>3215</v>
      </c>
      <c r="D114" s="2984" t="s">
        <v>3217</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0">C115-$K38</f>
        <v>95</v>
      </c>
      <c r="E115" s="544">
        <f t="shared" si="30"/>
        <v>90</v>
      </c>
      <c r="F115" s="544">
        <f t="shared" si="30"/>
        <v>85</v>
      </c>
      <c r="G115" s="544">
        <f t="shared" si="30"/>
        <v>80</v>
      </c>
      <c r="H115" s="544">
        <f t="shared" si="30"/>
        <v>75</v>
      </c>
      <c r="I115" s="544">
        <f t="shared" si="30"/>
        <v>70</v>
      </c>
      <c r="J115" s="544">
        <f t="shared" si="30"/>
        <v>65</v>
      </c>
      <c r="K115" s="544">
        <f t="shared" si="30"/>
        <v>60</v>
      </c>
      <c r="L115" s="544">
        <f t="shared" si="30"/>
        <v>55</v>
      </c>
      <c r="M115" s="545">
        <f t="shared" si="30"/>
        <v>50</v>
      </c>
      <c r="N115" s="1154"/>
      <c r="O115" s="1154"/>
      <c r="P115" s="2627"/>
      <c r="Q115" s="504"/>
    </row>
    <row r="116" spans="1:17" ht="15" thickTop="1">
      <c r="A116" s="599"/>
      <c r="B116" s="538" t="s">
        <v>2664</v>
      </c>
      <c r="C116" s="2984" t="s">
        <v>3212</v>
      </c>
      <c r="D116" s="2984" t="s">
        <v>3213</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2665</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2666</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8"/>
      <c r="Q121" s="559"/>
    </row>
    <row r="122" spans="1:17" ht="15" thickTop="1">
      <c r="A122" s="599"/>
      <c r="B122" s="538" t="s">
        <v>2601</v>
      </c>
      <c r="C122" s="2984" t="s">
        <v>3208</v>
      </c>
      <c r="D122" s="2984" t="s">
        <v>3209</v>
      </c>
      <c r="E122" s="2984" t="s">
        <v>3210</v>
      </c>
      <c r="F122" s="2986" t="s">
        <v>3211</v>
      </c>
      <c r="G122" s="583"/>
      <c r="H122" s="583"/>
      <c r="I122" s="583"/>
      <c r="J122" s="583"/>
      <c r="K122" s="584"/>
      <c r="L122" s="585"/>
      <c r="M122" s="586"/>
      <c r="N122" s="1153"/>
      <c r="O122" s="1153"/>
      <c r="P122" s="2627"/>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4" t="s">
        <v>3206</v>
      </c>
      <c r="D126" s="2984" t="s">
        <v>3207</v>
      </c>
      <c r="E126" s="554"/>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E20" sqref="E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3119</v>
      </c>
      <c r="D1" s="1822" t="s">
        <v>70</v>
      </c>
      <c r="E1" s="1823" t="s">
        <v>1384</v>
      </c>
      <c r="F1" s="1284"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ROUND(D2/10000,0)</f>
        <v>#N/A</v>
      </c>
      <c r="C2" s="1847" t="s">
        <v>1514</v>
      </c>
      <c r="D2" s="1940" t="e">
        <f ca="1">C40+J29+L46</f>
        <v>#N/A</v>
      </c>
      <c r="E2" s="1848" t="s">
        <v>1590</v>
      </c>
      <c r="F2" s="1849"/>
      <c r="G2" s="1850"/>
      <c r="H2" s="1842"/>
      <c r="I2" s="1842"/>
      <c r="J2" s="1842"/>
      <c r="K2" s="1843"/>
      <c r="L2" s="1842"/>
      <c r="M2" s="1842"/>
    </row>
    <row r="3" spans="1:37" ht="18" customHeight="1" thickBot="1">
      <c r="A3" s="1851" t="s">
        <v>1515</v>
      </c>
      <c r="B3" s="1852">
        <f ca="1">IF(ISERROR(D2/F43),0,ROUND(D2/F43,0))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t="e">
        <f ca="1">C6+C10+C12</f>
        <v>#N/A</v>
      </c>
      <c r="D5" s="1824" t="s">
        <v>1399</v>
      </c>
      <c r="E5" s="1294"/>
      <c r="F5" s="1295"/>
      <c r="G5" s="1853"/>
      <c r="H5" s="344">
        <v>1</v>
      </c>
      <c r="I5" s="345" t="s">
        <v>1398</v>
      </c>
      <c r="J5" s="1293" t="e">
        <f ca="1">J6+J10+J12</f>
        <v>#N/A</v>
      </c>
      <c r="K5" s="1824" t="s">
        <v>1399</v>
      </c>
      <c r="L5" s="1294"/>
      <c r="M5" s="1295"/>
    </row>
    <row r="6" spans="1:37" ht="18" customHeight="1">
      <c r="A6" s="1292" t="s">
        <v>1034</v>
      </c>
      <c r="B6" s="3255" t="s">
        <v>1400</v>
      </c>
      <c r="C6" s="1297" t="e">
        <f ca="1">ROUND(F6*F8*F7*(1-F9),0)</f>
        <v>#N/A</v>
      </c>
      <c r="D6" s="164" t="s">
        <v>3008</v>
      </c>
      <c r="E6" s="347" t="s">
        <v>1402</v>
      </c>
      <c r="F6" s="348" t="e">
        <f ca="1">INDIRECT("'数据-取费表'!u"&amp;$G$1)</f>
        <v>#N/A</v>
      </c>
      <c r="G6" s="1853"/>
      <c r="H6" s="1292" t="s">
        <v>1034</v>
      </c>
      <c r="I6" s="3255" t="s">
        <v>1400</v>
      </c>
      <c r="J6" s="346" t="e">
        <f ca="1">ROUND(M6*M8*M7*(1-M9),0)</f>
        <v>#N/A</v>
      </c>
      <c r="K6" s="1836" t="s">
        <v>3011</v>
      </c>
      <c r="L6" s="347" t="s">
        <v>1402</v>
      </c>
      <c r="M6" s="348" t="e">
        <f ca="1">INDIRECT("'数据-取费表'!z"&amp;$G$1)</f>
        <v>#N/A</v>
      </c>
    </row>
    <row r="7" spans="1:37" ht="18" customHeight="1">
      <c r="A7" s="1296"/>
      <c r="B7" s="3256"/>
      <c r="C7" s="1298"/>
      <c r="D7" s="352"/>
      <c r="E7" s="2952" t="s">
        <v>1403</v>
      </c>
      <c r="F7" s="348" t="e">
        <f ca="1">IF(INDIRECT("'数据-取费表'!ah"&amp;$G$1)="",INDIRECT("'数据-取费表'!k"&amp;$G$1),INDIRECT("'数据-取费表'!ah"&amp;$G$1))</f>
        <v>#N/A</v>
      </c>
      <c r="G7" s="1853"/>
      <c r="H7" s="349"/>
      <c r="I7" s="3256"/>
      <c r="J7" s="351"/>
      <c r="K7" s="352"/>
      <c r="L7" s="347" t="s">
        <v>1403</v>
      </c>
      <c r="M7" s="348" t="e">
        <f ca="1">F7</f>
        <v>#N/A</v>
      </c>
    </row>
    <row r="8" spans="1:37" ht="18" customHeight="1">
      <c r="A8" s="349"/>
      <c r="B8" s="3256"/>
      <c r="C8" s="351"/>
      <c r="D8" s="352"/>
      <c r="E8" s="347" t="s">
        <v>1404</v>
      </c>
      <c r="F8" s="348" t="e">
        <f ca="1">INDIRECT("'数据-取费表'!ai"&amp;$G$1)</f>
        <v>#N/A</v>
      </c>
      <c r="G8" s="1853"/>
      <c r="H8" s="349"/>
      <c r="I8" s="3256"/>
      <c r="J8" s="351"/>
      <c r="K8" s="352"/>
      <c r="L8" s="347" t="s">
        <v>1404</v>
      </c>
      <c r="M8" s="348" t="e">
        <f ca="1">INDIRECT("'数据-取费表'!ai"&amp;$G$1)</f>
        <v>#N/A</v>
      </c>
    </row>
    <row r="9" spans="1:37" ht="18" customHeight="1">
      <c r="A9" s="349"/>
      <c r="B9" s="3257"/>
      <c r="C9" s="351"/>
      <c r="D9" s="352"/>
      <c r="E9" s="347" t="s">
        <v>1405</v>
      </c>
      <c r="F9" s="357" t="e">
        <f ca="1">INDIRECT("'数据-取费表'!w"&amp;$G$1)</f>
        <v>#N/A</v>
      </c>
      <c r="G9" s="1853"/>
      <c r="H9" s="349"/>
      <c r="I9" s="3257"/>
      <c r="J9" s="351"/>
      <c r="K9" s="352"/>
      <c r="L9" s="358" t="s">
        <v>1405</v>
      </c>
      <c r="M9" s="359" t="e">
        <f ca="1">INDIRECT("'数据-取费表'!ab"&amp;$G$1)</f>
        <v>#N/A</v>
      </c>
    </row>
    <row r="10" spans="1:37" ht="18" customHeight="1">
      <c r="A10" s="1292" t="s">
        <v>1038</v>
      </c>
      <c r="B10" s="1825" t="s">
        <v>1406</v>
      </c>
      <c r="C10" s="361" t="e">
        <f ca="1">ROUND(IF(F10="押一",F6*F8*F7/12*F11,IF(F10="押二",F6*F8*F7/12*2*F11,IF(F10="押三",F6*F8*F7/12*3*F11,C11*F11))),0)</f>
        <v>#N/A</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t="e">
        <f ca="1">ROUND(C29*F13,0)</f>
        <v>#N/A</v>
      </c>
      <c r="D13" s="1332" t="s">
        <v>1413</v>
      </c>
      <c r="E13" s="1332" t="s">
        <v>1414</v>
      </c>
      <c r="F13" s="1333" t="e">
        <f ca="1">INDIRECT("'数据-取费表'!y"&amp;$G$1)</f>
        <v>#N/A</v>
      </c>
      <c r="G13" s="1853"/>
      <c r="H13" s="1330">
        <v>2</v>
      </c>
      <c r="I13" s="1331" t="s">
        <v>1412</v>
      </c>
      <c r="J13" s="1291" t="e">
        <f ca="1">ROUND(J14*J15,0)</f>
        <v>#N/A</v>
      </c>
      <c r="K13" s="1338" t="s">
        <v>1413</v>
      </c>
      <c r="L13" s="1854"/>
      <c r="M13" s="1855"/>
    </row>
    <row r="14" spans="1:37" ht="18" customHeight="1">
      <c r="A14" s="1202" t="s">
        <v>1033</v>
      </c>
      <c r="B14" s="347" t="s">
        <v>1415</v>
      </c>
      <c r="C14" s="363" t="e">
        <f ca="1">ROUND(INDIRECT("'数据-取费表'!l"&amp;$G$1)*F43+'数据-取费表'!L14*INDIRECT("'数据-取费表'!S"&amp;$G$1),0)</f>
        <v>#N/A</v>
      </c>
      <c r="D14" s="2961" t="s">
        <v>1416</v>
      </c>
      <c r="E14" s="2960"/>
      <c r="F14" s="364"/>
      <c r="G14" s="1853"/>
      <c r="H14" s="1202" t="s">
        <v>1034</v>
      </c>
      <c r="I14" s="347" t="s">
        <v>1417</v>
      </c>
      <c r="J14" s="24" t="e">
        <f ca="1">C29</f>
        <v>#N/A</v>
      </c>
      <c r="K14" s="2951"/>
      <c r="L14" s="980"/>
      <c r="M14" s="981"/>
    </row>
    <row r="15" spans="1:37" s="1860" customFormat="1" ht="18" customHeight="1" thickBot="1">
      <c r="A15" s="1202" t="s">
        <v>1035</v>
      </c>
      <c r="B15" s="347" t="s">
        <v>1418</v>
      </c>
      <c r="C15" s="24" t="e">
        <f ca="1">ROUND(C14*F15,0)</f>
        <v>#N/A</v>
      </c>
      <c r="D15" s="365" t="s">
        <v>1419</v>
      </c>
      <c r="E15" s="365" t="s">
        <v>1420</v>
      </c>
      <c r="F15" s="366">
        <f>'数据-取费表'!B33</f>
        <v>0.03</v>
      </c>
      <c r="G15" s="1856"/>
      <c r="H15" s="1340" t="s">
        <v>1038</v>
      </c>
      <c r="I15" s="1341" t="s">
        <v>1414</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t="e">
        <f ca="1">ROUND(INDIRECT("'数据-取费表'!l"&amp;$G$1)*F43*F16,0)</f>
        <v>#N/A</v>
      </c>
      <c r="D16" s="347" t="s">
        <v>1419</v>
      </c>
      <c r="E16" s="347" t="s">
        <v>1420</v>
      </c>
      <c r="F16" s="367" t="e">
        <f ca="1">IF(INDIRECT("'数据-取费表'!c"&amp;$G$1)="住宅",'数据-取费表'!B34,0)</f>
        <v>#N/A</v>
      </c>
      <c r="G16" s="1853"/>
      <c r="H16" s="1330" t="s">
        <v>1029</v>
      </c>
      <c r="I16" s="1331" t="s">
        <v>1422</v>
      </c>
      <c r="J16" s="355" t="e">
        <f ca="1">ROUND(J17+J22+J23+J24,0)</f>
        <v>#N/A</v>
      </c>
      <c r="K16" s="1338" t="s">
        <v>1423</v>
      </c>
      <c r="L16" s="2964"/>
      <c r="M16" s="1295"/>
    </row>
    <row r="17" spans="1:37" s="1860" customFormat="1" ht="18" customHeight="1">
      <c r="A17" s="1202" t="s">
        <v>1387</v>
      </c>
      <c r="B17" s="347" t="s">
        <v>1424</v>
      </c>
      <c r="C17" s="24" t="e">
        <f ca="1">ROUND(F17*(F43+INDIRECT("'数据-取费表'!S"&amp;$G$1)),0)</f>
        <v>#N/A</v>
      </c>
      <c r="D17" s="347" t="s">
        <v>1425</v>
      </c>
      <c r="E17" s="347" t="s">
        <v>1426</v>
      </c>
      <c r="F17" s="26">
        <f>'数据-取费表'!B35</f>
        <v>100</v>
      </c>
      <c r="G17" s="1856"/>
      <c r="H17" s="1202" t="s">
        <v>1034</v>
      </c>
      <c r="I17" s="347" t="s">
        <v>1427</v>
      </c>
      <c r="J17" s="24" t="e">
        <f ca="1">ROUND(IF(项目基本情况!B11="自然人",J5*M17,J18+J19+J20),0)</f>
        <v>#N/A</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t="e">
        <f ca="1">ROUND(C14*F18,0)</f>
        <v>#N/A</v>
      </c>
      <c r="D18" s="347" t="s">
        <v>1419</v>
      </c>
      <c r="E18" s="347" t="s">
        <v>1420</v>
      </c>
      <c r="F18" s="367">
        <f>'数据-取费表'!B36</f>
        <v>1.4999999999999999E-2</v>
      </c>
      <c r="G18" s="1856"/>
      <c r="H18" s="1202" t="s">
        <v>1033</v>
      </c>
      <c r="I18" s="347" t="s">
        <v>1431</v>
      </c>
      <c r="J18" s="24" t="e">
        <f ca="1">ROUND(J5*M18/(1+'数据-取费表'!C42),0)</f>
        <v>#N/A</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t="e">
        <f ca="1">SUM(C14:C18)</f>
        <v>#N/A</v>
      </c>
      <c r="D19" s="140" t="s">
        <v>1434</v>
      </c>
      <c r="E19" s="2949"/>
      <c r="F19" s="26"/>
      <c r="G19" s="1853"/>
      <c r="H19" s="1202" t="s">
        <v>1035</v>
      </c>
      <c r="I19" s="347" t="s">
        <v>1435</v>
      </c>
      <c r="J19" s="24" t="e">
        <f ca="1">IF(K19="按租金收入计税",ROUND(J5*M19,0),ROUND(C29*M19*0.7,0))</f>
        <v>#N/A</v>
      </c>
      <c r="K19" s="1830" t="s">
        <v>1436</v>
      </c>
      <c r="L19" s="347" t="s">
        <v>1420</v>
      </c>
      <c r="M19" s="367">
        <f>IF(K19="按租金收入计税",'数据-取费表'!B51,'数据-取费表'!B50)</f>
        <v>1.2E-2</v>
      </c>
    </row>
    <row r="20" spans="1:37" s="1860" customFormat="1" ht="18" customHeight="1">
      <c r="A20" s="1202" t="s">
        <v>1038</v>
      </c>
      <c r="B20" s="347" t="s">
        <v>1437</v>
      </c>
      <c r="C20" s="24" t="e">
        <f ca="1">ROUND(C19*F20,0)</f>
        <v>#N/A</v>
      </c>
      <c r="D20" s="369" t="s">
        <v>1438</v>
      </c>
      <c r="E20" s="347" t="s">
        <v>1420</v>
      </c>
      <c r="F20" s="367">
        <f>'数据-取费表'!B37</f>
        <v>0.02</v>
      </c>
      <c r="G20" s="1856"/>
      <c r="H20" s="1202" t="s">
        <v>1386</v>
      </c>
      <c r="I20" s="164" t="s">
        <v>1439</v>
      </c>
      <c r="J20" s="25" t="e">
        <f ca="1">ROUND(M20*M21,0)</f>
        <v>#N/A</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49"/>
      <c r="F22" s="26"/>
      <c r="G22" s="1853"/>
      <c r="H22" s="1202" t="s">
        <v>1038</v>
      </c>
      <c r="I22" s="347" t="s">
        <v>1447</v>
      </c>
      <c r="J22" s="24" t="e">
        <f ca="1">ROUND(J14*M22,0)</f>
        <v>#N/A</v>
      </c>
      <c r="K22" s="2963" t="s">
        <v>1448</v>
      </c>
      <c r="L22" s="347" t="s">
        <v>1420</v>
      </c>
      <c r="M22" s="374" t="e">
        <f ca="1">INDIRECT("'数据-取费表'!Ak"&amp;$G$1)</f>
        <v>#N/A</v>
      </c>
    </row>
    <row r="23" spans="1:37" s="1860" customFormat="1" ht="18" customHeight="1">
      <c r="A23" s="1202" t="s">
        <v>1033</v>
      </c>
      <c r="B23" s="347" t="s">
        <v>1449</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t="e">
        <f ca="1">ROUND(J13*M23,0)</f>
        <v>#N/A</v>
      </c>
      <c r="K23" s="2963" t="s">
        <v>1452</v>
      </c>
      <c r="L23" s="347" t="s">
        <v>1420</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1389</v>
      </c>
      <c r="I24" s="1341" t="s">
        <v>1437</v>
      </c>
      <c r="J24" s="1342" t="e">
        <f ca="1">ROUND(J5*M24,0)</f>
        <v>#N/A</v>
      </c>
      <c r="K24" s="1343" t="s">
        <v>1457</v>
      </c>
      <c r="L24" s="1341" t="s">
        <v>1420</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t="e">
        <f ca="1">J5-J16</f>
        <v>#N/A</v>
      </c>
      <c r="K25" s="1346" t="s">
        <v>1462</v>
      </c>
      <c r="L25" s="1347"/>
      <c r="M25" s="1348"/>
    </row>
    <row r="26" spans="1:37" ht="18" customHeight="1">
      <c r="A26" s="1202" t="s">
        <v>1033</v>
      </c>
      <c r="B26" s="347" t="s">
        <v>1463</v>
      </c>
      <c r="C26" s="24" t="e">
        <f ca="1">ROUND((C19+C20)*F26,0)</f>
        <v>#N/A</v>
      </c>
      <c r="D26" s="369" t="s">
        <v>1464</v>
      </c>
      <c r="E26" s="358" t="s">
        <v>1465</v>
      </c>
      <c r="F26" s="357" t="e">
        <f ca="1">INDIRECT("'数据-取费表'!q"&amp;$G$1)</f>
        <v>#N/A</v>
      </c>
      <c r="G26" s="1853"/>
      <c r="H26" s="344" t="s">
        <v>1031</v>
      </c>
      <c r="I26" s="345" t="s">
        <v>1466</v>
      </c>
      <c r="J26" s="346" t="e">
        <f ca="1">IF(J5&lt;&gt;0,ROUND(J25*(1-((1+M28)/(1+M26))^M27)/(M26-M28),0),0)</f>
        <v>#N/A</v>
      </c>
      <c r="K26" s="370" t="s">
        <v>1467</v>
      </c>
      <c r="L26" s="347" t="s">
        <v>1468</v>
      </c>
      <c r="M26" s="357" t="e">
        <f ca="1">INDIRECT("'数据-取费表'!I"&amp;$G$1)</f>
        <v>#N/A</v>
      </c>
    </row>
    <row r="27" spans="1:37" ht="18" customHeight="1">
      <c r="A27" s="1202" t="s">
        <v>1035</v>
      </c>
      <c r="B27" s="347" t="s">
        <v>1469</v>
      </c>
      <c r="C27" s="24" t="e">
        <f ca="1">ROUND(F21*F26,4)</f>
        <v>#N/A</v>
      </c>
      <c r="D27" s="369" t="s">
        <v>1470</v>
      </c>
      <c r="E27" s="365"/>
      <c r="F27" s="366"/>
      <c r="G27" s="1853"/>
      <c r="H27" s="349"/>
      <c r="I27" s="350"/>
      <c r="J27" s="351"/>
      <c r="K27" s="378" t="s">
        <v>1471</v>
      </c>
      <c r="L27" s="347" t="s">
        <v>1472</v>
      </c>
      <c r="M27" s="379" t="e">
        <f ca="1">INDIRECT("'数据-取费表'!ag"&amp;$G$1)</f>
        <v>#N/A</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t="e">
        <f ca="1">ROUND((C19+C20+C23+C26)/(1-F21-C24-C27-C28),0)</f>
        <v>#N/A</v>
      </c>
      <c r="D29" s="1343"/>
      <c r="E29" s="1341"/>
      <c r="F29" s="1344"/>
      <c r="G29" s="1856"/>
      <c r="H29" s="380" t="s">
        <v>1032</v>
      </c>
      <c r="I29" s="381" t="s">
        <v>1477</v>
      </c>
      <c r="J29" s="382" t="e">
        <f ca="1">ROUND(J26/(1+F40)^F41,0)</f>
        <v>#N/A</v>
      </c>
      <c r="K29" s="383" t="s">
        <v>1478</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t="e">
        <f ca="1">ROUND(C31+C36+C37+C38,0)</f>
        <v>#N/A</v>
      </c>
      <c r="D30" s="1338" t="s">
        <v>1423</v>
      </c>
      <c r="E30" s="2964"/>
      <c r="F30" s="1295"/>
      <c r="G30" s="1853"/>
      <c r="H30" s="744"/>
      <c r="I30" s="745"/>
      <c r="J30" s="746"/>
      <c r="K30" s="747"/>
      <c r="L30" s="748"/>
      <c r="M30" s="749"/>
    </row>
    <row r="31" spans="1:37" ht="18" customHeight="1">
      <c r="A31" s="1202" t="s">
        <v>1034</v>
      </c>
      <c r="B31" s="347" t="s">
        <v>1427</v>
      </c>
      <c r="C31" s="24" t="e">
        <f ca="1">ROUND(IF(项目基本情况!B11="自然人",C5*F31,C32+C33+C34),0)</f>
        <v>#N/A</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t="e">
        <f ca="1">IF(项目基本情况!B11="自然人","——",ROUND(C5*F32/(1+'数据-取费表'!C42),0))</f>
        <v>#N/A</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t="e">
        <f ca="1">IF(项目基本情况!B11="自然人","——",IF(D33="按租金收入计税",ROUND(C5*F33,0),IF(D33="按房产原值计税",ROUND(C29*F33*0.7,0),INDIRECT("'数据-取费表'!Aj"&amp;$G$1))))</f>
        <v>#N/A</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t="e">
        <f ca="1">IF(项目基本情况!B11="自然人","——",ROUND(F34*F35,))</f>
        <v>#N/A</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t="e">
        <f ca="1">INDIRECT("'数据-取费表'!r"&amp;$G$1)</f>
        <v>#N/A</v>
      </c>
      <c r="G35" s="1853"/>
      <c r="H35" s="744"/>
      <c r="I35" s="1862"/>
      <c r="J35" s="1863"/>
      <c r="K35" s="1864"/>
      <c r="L35" s="1861"/>
      <c r="M35" s="1861"/>
    </row>
    <row r="36" spans="1:18" ht="18" customHeight="1">
      <c r="A36" s="1353" t="s">
        <v>1038</v>
      </c>
      <c r="B36" s="347" t="s">
        <v>1447</v>
      </c>
      <c r="C36" s="24" t="e">
        <f ca="1">ROUND(C29*F36,0)</f>
        <v>#N/A</v>
      </c>
      <c r="D36" s="2963" t="s">
        <v>1480</v>
      </c>
      <c r="E36" s="347" t="s">
        <v>1420</v>
      </c>
      <c r="F36" s="374" t="e">
        <f ca="1">INDIRECT("'数据-取费表'!Ak"&amp;$G$1)</f>
        <v>#N/A</v>
      </c>
      <c r="G36" s="1853"/>
      <c r="H36" s="1861"/>
      <c r="I36" s="1862"/>
      <c r="J36" s="1863"/>
      <c r="K36" s="750"/>
      <c r="L36" s="1861"/>
      <c r="M36" s="1861"/>
    </row>
    <row r="37" spans="1:18" ht="18" customHeight="1">
      <c r="A37" s="1202" t="s">
        <v>1074</v>
      </c>
      <c r="B37" s="347" t="s">
        <v>1451</v>
      </c>
      <c r="C37" s="24" t="e">
        <f ca="1">ROUND(C13*F37,0)</f>
        <v>#N/A</v>
      </c>
      <c r="D37" s="2963" t="s">
        <v>1452</v>
      </c>
      <c r="E37" s="347" t="s">
        <v>1420</v>
      </c>
      <c r="F37" s="376" t="e">
        <f ca="1">INDIRECT("'数据-取费表'!Al"&amp;$G$1)</f>
        <v>#N/A</v>
      </c>
      <c r="G37" s="1853"/>
      <c r="H37" s="1861"/>
      <c r="I37" s="1862"/>
      <c r="J37" s="1863"/>
      <c r="K37" s="750"/>
      <c r="L37" s="1861"/>
      <c r="M37" s="1861"/>
    </row>
    <row r="38" spans="1:18" ht="18" customHeight="1" thickBot="1">
      <c r="A38" s="1340" t="s">
        <v>1389</v>
      </c>
      <c r="B38" s="1341" t="s">
        <v>1437</v>
      </c>
      <c r="C38" s="1342" t="e">
        <f ca="1">ROUND(C5*F38,1)</f>
        <v>#N/A</v>
      </c>
      <c r="D38" s="1343" t="s">
        <v>1457</v>
      </c>
      <c r="E38" s="1341" t="s">
        <v>1420</v>
      </c>
      <c r="F38" s="1337" t="e">
        <f ca="1">INDIRECT("'数据-取费表'!Am"&amp;$G$1)</f>
        <v>#N/A</v>
      </c>
      <c r="G38" s="1853"/>
      <c r="H38" s="1861"/>
      <c r="I38" s="1862"/>
      <c r="J38" s="1863"/>
      <c r="K38" s="1867"/>
      <c r="L38" s="1861"/>
      <c r="M38" s="1861"/>
    </row>
    <row r="39" spans="1:18" ht="24.6" customHeight="1" thickTop="1">
      <c r="A39" s="1330" t="s">
        <v>1030</v>
      </c>
      <c r="B39" s="1345" t="s">
        <v>1461</v>
      </c>
      <c r="C39" s="355" t="e">
        <f ca="1">C5-C30</f>
        <v>#N/A</v>
      </c>
      <c r="D39" s="1346" t="s">
        <v>1462</v>
      </c>
      <c r="E39" s="1347"/>
      <c r="F39" s="1348"/>
      <c r="G39" s="1853"/>
      <c r="H39" s="1861"/>
      <c r="I39" s="1862"/>
      <c r="J39" s="1863"/>
      <c r="K39" s="1867"/>
      <c r="L39" s="1861"/>
      <c r="M39" s="1861"/>
    </row>
    <row r="40" spans="1:18" ht="18" customHeight="1">
      <c r="A40" s="344" t="s">
        <v>1031</v>
      </c>
      <c r="B40" s="345" t="s">
        <v>1483</v>
      </c>
      <c r="C40" s="346" t="e">
        <f ca="1">ROUND(C39*(1-((1+F42)/(1+F40))^F41)/(F40-F42),0)</f>
        <v>#N/A</v>
      </c>
      <c r="D40" s="370" t="s">
        <v>1467</v>
      </c>
      <c r="E40" s="347" t="s">
        <v>1468</v>
      </c>
      <c r="F40" s="357" t="e">
        <f ca="1">INDIRECT("'数据-取费表'!I"&amp;$G$1)</f>
        <v>#N/A</v>
      </c>
      <c r="G40" s="1853"/>
      <c r="H40" s="1841"/>
      <c r="I40" s="1862"/>
      <c r="J40" s="1863"/>
      <c r="K40" s="1867"/>
      <c r="L40" s="1841"/>
      <c r="M40" s="1841"/>
    </row>
    <row r="41" spans="1:18" ht="18" customHeight="1">
      <c r="A41" s="349"/>
      <c r="B41" s="350"/>
      <c r="C41" s="351"/>
      <c r="D41" s="378" t="s">
        <v>1484</v>
      </c>
      <c r="E41" s="347" t="s">
        <v>1472</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1475</v>
      </c>
      <c r="F42" s="357" t="e">
        <f ca="1">INDIRECT("'数据-取费表'!v"&amp;$G$1)</f>
        <v>#N/A</v>
      </c>
      <c r="G42" s="1853"/>
      <c r="H42" s="731"/>
      <c r="I42" s="1862"/>
      <c r="J42" s="1863"/>
      <c r="K42" s="750"/>
      <c r="L42" s="731"/>
      <c r="M42" s="731"/>
    </row>
    <row r="43" spans="1:18" ht="18" customHeight="1" thickBot="1">
      <c r="A43" s="380" t="s">
        <v>1032</v>
      </c>
      <c r="B43" s="381" t="s">
        <v>1485</v>
      </c>
      <c r="C43" s="382" t="e">
        <f ca="1">ROUND(C40/F43,0)</f>
        <v>#N/A</v>
      </c>
      <c r="D43" s="383" t="s">
        <v>1486</v>
      </c>
      <c r="E43" s="384" t="s">
        <v>1487</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1602</v>
      </c>
      <c r="E45" s="1868"/>
      <c r="F45" s="1868"/>
      <c r="O45" s="1871" t="s">
        <v>1517</v>
      </c>
      <c r="P45" s="1841"/>
      <c r="Q45" s="1841"/>
      <c r="R45" s="1841"/>
    </row>
    <row r="46" spans="1:18" s="1844" customFormat="1" ht="13.5" thickBot="1">
      <c r="A46" s="1872" t="s">
        <v>1518</v>
      </c>
      <c r="C46" s="1873" t="e">
        <f ca="1">ROUND(C45/10000,0)</f>
        <v>#N/A</v>
      </c>
      <c r="D46" s="1874" t="str">
        <f>C2</f>
        <v>万元</v>
      </c>
      <c r="I46" s="1875" t="s">
        <v>1519</v>
      </c>
      <c r="J46" s="1876"/>
      <c r="K46" s="1877"/>
      <c r="L46" s="1878" t="e">
        <f ca="1">IF(M47="住宅",0,IF(L48&gt;J51,L60,J60))</f>
        <v>#N/A</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t="e">
        <f ca="1">INDIRECT("'数据-取费表'!d"&amp;$G$1)</f>
        <v>#N/A</v>
      </c>
      <c r="M47" s="1840" t="str">
        <f>IF(ISNUMBER(FIND("住宅",C1)),"住宅","非住宅")</f>
        <v>非住宅</v>
      </c>
      <c r="O47" s="1886" t="s">
        <v>1039</v>
      </c>
      <c r="P47" s="1887" t="s">
        <v>1526</v>
      </c>
      <c r="Q47" s="1888" t="e">
        <f ca="1">C40+J29</f>
        <v>#N/A</v>
      </c>
      <c r="R47" s="1888" t="s">
        <v>1527</v>
      </c>
    </row>
    <row r="48" spans="1:18" s="1844" customFormat="1" ht="28.5" thickBot="1">
      <c r="A48" s="1361" t="s">
        <v>1134</v>
      </c>
      <c r="B48" s="345" t="s">
        <v>1398</v>
      </c>
      <c r="C48" s="2948" t="e">
        <f ca="1">C49+C53+C55</f>
        <v>#N/A</v>
      </c>
      <c r="D48" s="1363"/>
      <c r="E48" s="1364"/>
      <c r="F48" s="1182"/>
      <c r="G48" s="791"/>
      <c r="H48" s="792"/>
      <c r="I48" s="1889" t="s">
        <v>1528</v>
      </c>
      <c r="J48" s="1890" t="s">
        <v>3118</v>
      </c>
      <c r="K48" s="1891" t="s">
        <v>1529</v>
      </c>
      <c r="L48" s="1892" t="e">
        <f ca="1">INDIRECT("'数据-取费表'!f"&amp;$G$1)</f>
        <v>#N/A</v>
      </c>
      <c r="O48" s="1886" t="s">
        <v>1040</v>
      </c>
      <c r="P48" s="1887" t="s">
        <v>1530</v>
      </c>
      <c r="Q48" s="1888" t="e">
        <f ca="1">J60</f>
        <v>#N/A</v>
      </c>
      <c r="R48" s="1888" t="s">
        <v>1531</v>
      </c>
    </row>
    <row r="49" spans="1:18" s="1844" customFormat="1" ht="13.5" thickBot="1">
      <c r="A49" s="1195" t="s">
        <v>1135</v>
      </c>
      <c r="B49" s="1831" t="s">
        <v>1488</v>
      </c>
      <c r="C49" s="1365" t="e">
        <f ca="1">ROUND(F49*F51*F50*(1-F52),0)</f>
        <v>#N/A</v>
      </c>
      <c r="D49" s="1277" t="s">
        <v>1401</v>
      </c>
      <c r="E49" s="1832" t="s">
        <v>1489</v>
      </c>
      <c r="F49" s="1282" t="e">
        <f ca="1">F6</f>
        <v>#N/A</v>
      </c>
      <c r="G49" s="1893"/>
      <c r="H49" s="792"/>
      <c r="I49" s="1889" t="s">
        <v>1532</v>
      </c>
      <c r="J49" s="1894">
        <v>1999</v>
      </c>
      <c r="K49" s="1891" t="s">
        <v>1533</v>
      </c>
      <c r="L49" s="1895"/>
      <c r="O49" s="1896" t="s">
        <v>1041</v>
      </c>
      <c r="P49" s="1887" t="s">
        <v>1534</v>
      </c>
      <c r="Q49" s="1888" t="e">
        <f ca="1">C29</f>
        <v>#N/A</v>
      </c>
      <c r="R49" s="1888" t="s">
        <v>1527</v>
      </c>
    </row>
    <row r="50" spans="1:18" s="1844" customFormat="1" ht="13.5" thickBot="1">
      <c r="A50" s="1196"/>
      <c r="B50" s="1199"/>
      <c r="C50" s="1200"/>
      <c r="D50" s="1173"/>
      <c r="E50" s="1278" t="s">
        <v>1403</v>
      </c>
      <c r="F50" s="1279" t="e">
        <f ca="1">F7</f>
        <v>#N/A</v>
      </c>
      <c r="H50" s="792"/>
      <c r="I50" s="1889" t="s">
        <v>1535</v>
      </c>
      <c r="J50" s="1897">
        <f>SUMPRODUCT((I63:I65=J47)*(J62:L62=J48)*(J63:L65))</f>
        <v>60</v>
      </c>
      <c r="K50" s="1891" t="s">
        <v>1536</v>
      </c>
      <c r="L50" s="1895"/>
      <c r="M50" s="1898"/>
      <c r="O50" s="1896" t="s">
        <v>1042</v>
      </c>
      <c r="P50" s="1887" t="s">
        <v>1537</v>
      </c>
      <c r="Q50" s="1899" t="e">
        <f ca="1">J58</f>
        <v>#N/A</v>
      </c>
      <c r="R50" s="1888"/>
    </row>
    <row r="51" spans="1:18" s="1844" customFormat="1" ht="13.5" thickBot="1">
      <c r="A51" s="1197"/>
      <c r="B51" s="1199"/>
      <c r="C51" s="1200"/>
      <c r="D51" s="1173"/>
      <c r="E51" s="1201" t="s">
        <v>1404</v>
      </c>
      <c r="F51" s="348" t="e">
        <f ca="1">F8</f>
        <v>#N/A</v>
      </c>
      <c r="I51" s="1900" t="s">
        <v>1538</v>
      </c>
      <c r="J51" s="1901">
        <f>IF(J49="",J50,J49+J50-YEAR('数据-取费表'!B2))</f>
        <v>42</v>
      </c>
      <c r="K51" s="1902" t="s">
        <v>1539</v>
      </c>
      <c r="L51" s="1903" t="e">
        <f ca="1">ROUND(-PV(INDIRECT("'数据-取费表'!h"&amp;$G$1),L48,(C39-C13*C76),0),0)</f>
        <v>#N/A</v>
      </c>
      <c r="M51" s="1904"/>
      <c r="O51" s="1896" t="s">
        <v>1043</v>
      </c>
      <c r="P51" s="1887" t="s">
        <v>1540</v>
      </c>
      <c r="Q51" s="1899">
        <f>J52</f>
        <v>8.5000000000000006E-2</v>
      </c>
      <c r="R51" s="1888"/>
    </row>
    <row r="52" spans="1:18" s="1844" customFormat="1" ht="13.5" thickBot="1">
      <c r="A52" s="1197"/>
      <c r="B52" s="1199"/>
      <c r="C52" s="1200"/>
      <c r="D52" s="1173"/>
      <c r="E52" s="1201" t="s">
        <v>1405</v>
      </c>
      <c r="F52" s="1276" t="e">
        <f ca="1">F9</f>
        <v>#N/A</v>
      </c>
      <c r="I52" s="1905" t="s">
        <v>1541</v>
      </c>
      <c r="J52" s="1906">
        <v>8.5000000000000006E-2</v>
      </c>
      <c r="K52" s="1905" t="s">
        <v>1542</v>
      </c>
      <c r="L52" s="1906"/>
      <c r="O52" s="1896" t="s">
        <v>1044</v>
      </c>
      <c r="P52" s="1887" t="s">
        <v>1543</v>
      </c>
      <c r="Q52" s="1888" t="e">
        <f ca="1">J53</f>
        <v>#N/A</v>
      </c>
      <c r="R52" s="1888" t="s">
        <v>1544</v>
      </c>
    </row>
    <row r="53" spans="1:18" s="1844" customFormat="1" ht="30.75" customHeight="1" thickBot="1">
      <c r="A53" s="1362" t="s">
        <v>1136</v>
      </c>
      <c r="B53" s="369" t="s">
        <v>1406</v>
      </c>
      <c r="C53" s="361" t="e">
        <f ca="1">ROUND(IF(F53="押一",F49*F51*F50/12*F11,IF(F53="押二",F49*F51*F50/12*2*F11,IF(F53="押三",F49*F51*F50/12*3*F11,C54*F11))),0)</f>
        <v>#N/A</v>
      </c>
      <c r="D53" s="1826" t="s">
        <v>1407</v>
      </c>
      <c r="E53" s="358" t="s">
        <v>1408</v>
      </c>
      <c r="F53" s="1367" t="s">
        <v>3030</v>
      </c>
      <c r="I53" s="1907" t="s">
        <v>1545</v>
      </c>
      <c r="J53" s="1908" t="e">
        <f ca="1">IF(M47="住宅",J51,IF(D1="——",MIN(J51,L48),IF(D1="在建（套用方法）",MIN(J51,L48-'数据-取费表'!B24),IF(D1="土地（套用方法）",MIN(J51,L48-'数据-取费表'!B20)))))</f>
        <v>#N/A</v>
      </c>
      <c r="K53" s="3258" t="s">
        <v>1546</v>
      </c>
      <c r="L53" s="3259"/>
      <c r="O53" s="1886" t="s">
        <v>1045</v>
      </c>
      <c r="P53" s="1887" t="s">
        <v>1547</v>
      </c>
      <c r="Q53" s="1888" t="e">
        <f ca="1">Q47+Q48</f>
        <v>#N/A</v>
      </c>
      <c r="R53" s="1888" t="s">
        <v>1046</v>
      </c>
    </row>
    <row r="54" spans="1:18" s="1844" customFormat="1" ht="13.5" thickBot="1">
      <c r="A54" s="1195"/>
      <c r="B54" s="1943" t="s">
        <v>1601</v>
      </c>
      <c r="C54" s="1179"/>
      <c r="D54" s="1826"/>
      <c r="E54" s="2953"/>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#N/A</v>
      </c>
      <c r="K55" s="1914" t="s">
        <v>1550</v>
      </c>
      <c r="L55" s="1915"/>
      <c r="O55" s="1879" t="s">
        <v>1520</v>
      </c>
      <c r="P55" s="1880" t="s">
        <v>1521</v>
      </c>
      <c r="Q55" s="1881" t="s">
        <v>1522</v>
      </c>
      <c r="R55" s="1881" t="s">
        <v>1523</v>
      </c>
    </row>
    <row r="56" spans="1:18" s="1844" customFormat="1" ht="36" customHeight="1" thickTop="1" thickBot="1">
      <c r="A56" s="1177">
        <v>2</v>
      </c>
      <c r="B56" s="1178" t="s">
        <v>1412</v>
      </c>
      <c r="C56" s="276" t="e">
        <f ca="1">C13</f>
        <v>#N/A</v>
      </c>
      <c r="D56" s="1916"/>
      <c r="E56" s="1917"/>
      <c r="F56" s="1909"/>
      <c r="I56" s="1918" t="s">
        <v>1552</v>
      </c>
      <c r="J56" s="1919" t="s">
        <v>3021</v>
      </c>
      <c r="K56" s="1889" t="s">
        <v>1553</v>
      </c>
      <c r="L56" s="1892" t="e">
        <f ca="1">IF(L48&lt;J51,"——",L48-J51)</f>
        <v>#N/A</v>
      </c>
      <c r="O56" s="1886" t="s">
        <v>1039</v>
      </c>
      <c r="P56" s="1887" t="s">
        <v>1526</v>
      </c>
      <c r="Q56" s="1888" t="e">
        <f ca="1">C40+J29</f>
        <v>#N/A</v>
      </c>
      <c r="R56" s="1888" t="s">
        <v>1527</v>
      </c>
    </row>
    <row r="57" spans="1:18" s="1844" customFormat="1" ht="24.75" thickBot="1">
      <c r="A57" s="1920"/>
      <c r="B57" s="1170" t="s">
        <v>1476</v>
      </c>
      <c r="C57" s="282" t="e">
        <f ca="1">C29</f>
        <v>#N/A</v>
      </c>
      <c r="D57" s="1921"/>
      <c r="E57" s="1922"/>
      <c r="F57" s="1923"/>
      <c r="I57" s="1924" t="s">
        <v>1554</v>
      </c>
      <c r="J57" s="1925" t="e">
        <f ca="1">IF(OR(M47="住宅",J51&lt;L48,J56="是"),"——",J51-L48)</f>
        <v>#N/A</v>
      </c>
      <c r="K57" s="1889" t="s">
        <v>1603</v>
      </c>
      <c r="L57" s="1892" t="e">
        <f ca="1">IF(L48&lt;J51,"——",IF(L55="比较法",L49,IF(L55="基准地价",L50,L51)))</f>
        <v>#N/A</v>
      </c>
      <c r="O57" s="1886" t="s">
        <v>1040</v>
      </c>
      <c r="P57" s="1887" t="s">
        <v>1556</v>
      </c>
      <c r="Q57" s="1888" t="e">
        <f ca="1">L60</f>
        <v>#N/A</v>
      </c>
      <c r="R57" s="1888" t="s">
        <v>1557</v>
      </c>
    </row>
    <row r="58" spans="1:18" s="1844" customFormat="1" ht="24.75" thickBot="1">
      <c r="A58" s="360" t="s">
        <v>1029</v>
      </c>
      <c r="B58" s="1178" t="s">
        <v>1422</v>
      </c>
      <c r="C58" s="361" t="e">
        <f ca="1">ROUND(C59+C64+C65+C66,0)</f>
        <v>#N/A</v>
      </c>
      <c r="D58" s="1180" t="s">
        <v>1423</v>
      </c>
      <c r="E58" s="1181"/>
      <c r="F58" s="1182"/>
      <c r="I58" s="1924" t="s">
        <v>1558</v>
      </c>
      <c r="J58" s="1926" t="e">
        <f ca="1">IF(J55&lt;0.4,0.4,J55)</f>
        <v>#N/A</v>
      </c>
      <c r="K58" s="1902" t="s">
        <v>1606</v>
      </c>
      <c r="L58" s="1892" t="e">
        <f ca="1">ROUND(POWER(1+L52,L47-L48)*(POWER(1+L52,L48)-1)/(POWER(1+L52,L47)-1),4)</f>
        <v>#N/A</v>
      </c>
      <c r="O58" s="1896" t="s">
        <v>1041</v>
      </c>
      <c r="P58" s="1887" t="s">
        <v>1560</v>
      </c>
      <c r="Q58" s="1888">
        <f>IF(L55="比较法",L49,IF(L55="基准地价",L50,0))</f>
        <v>0</v>
      </c>
      <c r="R58" s="1888" t="s">
        <v>1527</v>
      </c>
    </row>
    <row r="59" spans="1:18" s="1844" customFormat="1" ht="24.75" thickBot="1">
      <c r="A59" s="1202" t="s">
        <v>1034</v>
      </c>
      <c r="B59" s="1170" t="s">
        <v>1427</v>
      </c>
      <c r="C59" s="24" t="e">
        <f ca="1">ROUND(IF(项目基本情况!B11="自然人",C48*F59,C60+C61+C62),0)</f>
        <v>#N/A</v>
      </c>
      <c r="D59" s="1183" t="s">
        <v>1428</v>
      </c>
      <c r="E59" s="1184" t="s">
        <v>1429</v>
      </c>
      <c r="F59" s="368" t="str">
        <f ca="1">IF(项目基本情况!B11="企业","",IF(INDIRECT("'数据-取费表'!c"&amp;$G$1)="住宅",5%,IF(F49*F50*F51/12/(1+'数据-取费表'!C42)&gt;20000,12%,7%)))</f>
        <v/>
      </c>
      <c r="I59" s="1924" t="s">
        <v>1561</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1042</v>
      </c>
      <c r="P59" s="1887" t="s">
        <v>1562</v>
      </c>
      <c r="Q59" s="1899">
        <f>L52</f>
        <v>0</v>
      </c>
      <c r="R59" s="1888"/>
    </row>
    <row r="60" spans="1:18" s="1844" customFormat="1" ht="16.5" thickBot="1">
      <c r="A60" s="1202" t="s">
        <v>1033</v>
      </c>
      <c r="B60" s="1170" t="s">
        <v>1431</v>
      </c>
      <c r="C60" s="24" t="e">
        <f ca="1">IF(项目基本情况!B11="自然人","——",ROUND(C48*F60/(1+'数据-取费表'!C42),0))</f>
        <v>#N/A</v>
      </c>
      <c r="D60" s="1184" t="s">
        <v>1432</v>
      </c>
      <c r="E60" s="1170" t="s">
        <v>1420</v>
      </c>
      <c r="F60" s="377">
        <f t="shared" ref="F60:F66" si="0">F32</f>
        <v>5.6000000000000001E-2</v>
      </c>
      <c r="I60" s="1927" t="s">
        <v>1563</v>
      </c>
      <c r="J60" s="1928" t="e">
        <f ca="1">IF(OR(M47="住宅",J51&lt;L48,J56="是"),"0",ROUND(J59/(1+J52)^J53,0))</f>
        <v>#N/A</v>
      </c>
      <c r="K60" s="1929" t="s">
        <v>1564</v>
      </c>
      <c r="L60" s="1928" t="e">
        <f ca="1">IF(OR(M47="住宅",L48&lt;J51),0,ROUND(L57*(L58/L59-1),0))</f>
        <v>#N/A</v>
      </c>
      <c r="O60" s="1896" t="s">
        <v>1043</v>
      </c>
      <c r="P60" s="1887" t="s">
        <v>1565</v>
      </c>
      <c r="Q60" s="1888" t="e">
        <f ca="1">L58</f>
        <v>#N/A</v>
      </c>
      <c r="R60" s="1888" t="s">
        <v>1566</v>
      </c>
    </row>
    <row r="61" spans="1:18" s="1844" customFormat="1" ht="13.5" thickBot="1">
      <c r="A61" s="1202" t="s">
        <v>1490</v>
      </c>
      <c r="B61" s="1170" t="s">
        <v>1435</v>
      </c>
      <c r="C61" s="24" t="e">
        <f ca="1">IF(项目基本情况!B11="自然人","——",IF(D61="按租金收入计税",ROUND(C48*F61,0),IF(D61="按房产原值计税",ROUND(C57*F61*0.7,0),INDIRECT("'数据-取费表'!Aj"&amp;$G$1))))</f>
        <v>#N/A</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#N/A</v>
      </c>
      <c r="R61" s="1888" t="s">
        <v>1567</v>
      </c>
    </row>
    <row r="62" spans="1:18" s="1844" customFormat="1" ht="13.5" thickBot="1">
      <c r="A62" s="1202" t="s">
        <v>1493</v>
      </c>
      <c r="B62" s="1169" t="s">
        <v>1439</v>
      </c>
      <c r="C62" s="25" t="e">
        <f ca="1">IF(项目基本情况!B11="自然人","——",ROUND(F62*F63,0))</f>
        <v>#N/A</v>
      </c>
      <c r="D62" s="1185" t="s">
        <v>1440</v>
      </c>
      <c r="E62" s="1170" t="s">
        <v>1441</v>
      </c>
      <c r="F62" s="371">
        <f t="shared" si="0"/>
        <v>7</v>
      </c>
      <c r="I62" s="1931" t="s">
        <v>1568</v>
      </c>
      <c r="J62" s="1932" t="s">
        <v>1569</v>
      </c>
      <c r="K62" s="1932" t="s">
        <v>1570</v>
      </c>
      <c r="L62" s="1932" t="s">
        <v>1571</v>
      </c>
      <c r="M62" s="1933" t="s">
        <v>1572</v>
      </c>
      <c r="O62" s="1886" t="s">
        <v>1045</v>
      </c>
      <c r="P62" s="1887" t="s">
        <v>1547</v>
      </c>
      <c r="Q62" s="1888" t="e">
        <f ca="1">Q56+Q57</f>
        <v>#N/A</v>
      </c>
      <c r="R62" s="1888" t="s">
        <v>1046</v>
      </c>
    </row>
    <row r="63" spans="1:18" s="1844" customFormat="1" ht="13.5" thickBot="1">
      <c r="A63" s="372"/>
      <c r="B63" s="1176"/>
      <c r="C63" s="29"/>
      <c r="D63" s="1186"/>
      <c r="E63" s="1170" t="s">
        <v>1445</v>
      </c>
      <c r="F63" s="348" t="e">
        <f t="shared" ca="1" si="0"/>
        <v>#N/A</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t="e">
        <f ca="1">ROUND(C57*F64,0)</f>
        <v>#N/A</v>
      </c>
      <c r="D64" s="1184" t="s">
        <v>1480</v>
      </c>
      <c r="E64" s="1170" t="s">
        <v>1420</v>
      </c>
      <c r="F64" s="374" t="e">
        <f t="shared" ca="1" si="0"/>
        <v>#N/A</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t="e">
        <f ca="1">ROUND(C56*F65,0)</f>
        <v>#N/A</v>
      </c>
      <c r="D65" s="1184" t="s">
        <v>1452</v>
      </c>
      <c r="E65" s="1170" t="s">
        <v>1420</v>
      </c>
      <c r="F65" s="376" t="e">
        <f t="shared" ca="1" si="0"/>
        <v>#N/A</v>
      </c>
      <c r="I65" s="1931" t="s">
        <v>1577</v>
      </c>
      <c r="J65" s="1932">
        <v>40</v>
      </c>
      <c r="K65" s="1932">
        <v>30</v>
      </c>
      <c r="L65" s="1932">
        <v>50</v>
      </c>
      <c r="M65" s="1934">
        <v>0.02</v>
      </c>
      <c r="O65" s="1886" t="s">
        <v>1039</v>
      </c>
      <c r="P65" s="1887" t="s">
        <v>1526</v>
      </c>
      <c r="Q65" s="1888" t="e">
        <f ca="1">C40+J29</f>
        <v>#N/A</v>
      </c>
      <c r="R65" s="1888" t="s">
        <v>1527</v>
      </c>
    </row>
    <row r="66" spans="1:18" s="1844" customFormat="1" ht="16.5" thickBot="1">
      <c r="A66" s="1202" t="s">
        <v>1502</v>
      </c>
      <c r="B66" s="1170" t="s">
        <v>1437</v>
      </c>
      <c r="C66" s="24" t="e">
        <f ca="1">ROUND(C48*F66,0)</f>
        <v>#N/A</v>
      </c>
      <c r="D66" s="1184" t="s">
        <v>1457</v>
      </c>
      <c r="E66" s="1170" t="s">
        <v>1420</v>
      </c>
      <c r="F66" s="357" t="e">
        <f t="shared" ca="1" si="0"/>
        <v>#N/A</v>
      </c>
      <c r="O66" s="1886" t="s">
        <v>1040</v>
      </c>
      <c r="P66" s="1887" t="s">
        <v>1556</v>
      </c>
      <c r="Q66" s="1888" t="e">
        <f ca="1">L60</f>
        <v>#N/A</v>
      </c>
      <c r="R66" s="1888" t="s">
        <v>1579</v>
      </c>
    </row>
    <row r="67" spans="1:18" s="1844" customFormat="1" ht="16.5" thickBot="1">
      <c r="A67" s="1177" t="s">
        <v>1030</v>
      </c>
      <c r="B67" s="1187" t="s">
        <v>1461</v>
      </c>
      <c r="C67" s="361" t="e">
        <f ca="1">C48-C58</f>
        <v>#N/A</v>
      </c>
      <c r="D67" s="1183" t="s">
        <v>1462</v>
      </c>
      <c r="E67" s="1188"/>
      <c r="F67" s="1189"/>
      <c r="O67" s="1896" t="s">
        <v>1041</v>
      </c>
      <c r="P67" s="1887" t="s">
        <v>1560</v>
      </c>
      <c r="Q67" s="1935" t="e">
        <f ca="1">L51</f>
        <v>#N/A</v>
      </c>
      <c r="R67" s="1888" t="s">
        <v>1580</v>
      </c>
    </row>
    <row r="68" spans="1:18" s="1844" customFormat="1" ht="16.5" thickBot="1">
      <c r="A68" s="1167" t="s">
        <v>1031</v>
      </c>
      <c r="B68" s="1168" t="s">
        <v>1483</v>
      </c>
      <c r="C68" s="346" t="e">
        <f ca="1">ROUND(C67*(1-((1+F70)/(1+F68))^F69)/(F68-F70),0)</f>
        <v>#N/A</v>
      </c>
      <c r="D68" s="1185" t="s">
        <v>1467</v>
      </c>
      <c r="E68" s="1170" t="s">
        <v>1468</v>
      </c>
      <c r="F68" s="357" t="e">
        <f ca="1">F40</f>
        <v>#N/A</v>
      </c>
      <c r="O68" s="1896" t="s">
        <v>1042</v>
      </c>
      <c r="P68" s="1936" t="s">
        <v>1581</v>
      </c>
      <c r="Q68" s="1888" t="e">
        <f ca="1">ROUND(Q69-Q70*Q71,0)</f>
        <v>#N/A</v>
      </c>
      <c r="R68" s="1888" t="s">
        <v>1050</v>
      </c>
    </row>
    <row r="69" spans="1:18" s="1844" customFormat="1" ht="13.5" thickBot="1">
      <c r="A69" s="1171"/>
      <c r="B69" s="1172"/>
      <c r="C69" s="351"/>
      <c r="D69" s="1190" t="s">
        <v>1471</v>
      </c>
      <c r="E69" s="1170" t="s">
        <v>1472</v>
      </c>
      <c r="F69" s="379" t="e">
        <f ca="1">F41</f>
        <v>#N/A</v>
      </c>
      <c r="O69" s="1896" t="s">
        <v>1047</v>
      </c>
      <c r="P69" s="1936" t="s">
        <v>1582</v>
      </c>
      <c r="Q69" s="1888" t="e">
        <f ca="1">C39</f>
        <v>#N/A</v>
      </c>
      <c r="R69" s="1888" t="s">
        <v>1527</v>
      </c>
    </row>
    <row r="70" spans="1:18" s="1844" customFormat="1" ht="13.5" thickBot="1">
      <c r="A70" s="1174"/>
      <c r="B70" s="1175"/>
      <c r="C70" s="355"/>
      <c r="D70" s="1186"/>
      <c r="E70" s="1170" t="s">
        <v>1475</v>
      </c>
      <c r="F70" s="1276" t="e">
        <f ca="1">F42</f>
        <v>#N/A</v>
      </c>
      <c r="O70" s="1896" t="s">
        <v>1048</v>
      </c>
      <c r="P70" s="1936" t="s">
        <v>1583</v>
      </c>
      <c r="Q70" s="1888" t="e">
        <f ca="1">C13</f>
        <v>#N/A</v>
      </c>
      <c r="R70" s="1888" t="s">
        <v>1527</v>
      </c>
    </row>
    <row r="71" spans="1:18" s="1844" customFormat="1" ht="13.5" thickBot="1">
      <c r="A71" s="1191" t="s">
        <v>1032</v>
      </c>
      <c r="B71" s="1192" t="s">
        <v>1485</v>
      </c>
      <c r="C71" s="382" t="e">
        <f ca="1">ROUND(C68/F71,0)</f>
        <v>#N/A</v>
      </c>
      <c r="D71" s="1193" t="s">
        <v>1486</v>
      </c>
      <c r="E71" s="1194" t="s">
        <v>1487</v>
      </c>
      <c r="F71" s="385" t="e">
        <f ca="1">F43</f>
        <v>#N/A</v>
      </c>
      <c r="O71" s="1896" t="s">
        <v>1049</v>
      </c>
      <c r="P71" s="1936" t="s">
        <v>1584</v>
      </c>
      <c r="Q71" s="1899" t="e">
        <f ca="1">C76</f>
        <v>#N/A</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#N/A</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#N/A</v>
      </c>
      <c r="R74" s="1888" t="s">
        <v>1567</v>
      </c>
    </row>
    <row r="75" spans="1:18" ht="13.5" thickBot="1">
      <c r="A75" s="1844"/>
      <c r="B75" s="386" t="s">
        <v>1504</v>
      </c>
      <c r="C75" s="387" t="e">
        <f ca="1">ROUND(C13*C76,0)</f>
        <v>#N/A</v>
      </c>
      <c r="D75" s="1844"/>
      <c r="E75" s="1844"/>
      <c r="F75" s="1844"/>
      <c r="K75" s="1870"/>
      <c r="L75" s="1844"/>
      <c r="O75" s="1886" t="s">
        <v>1045</v>
      </c>
      <c r="P75" s="1887" t="s">
        <v>1547</v>
      </c>
      <c r="Q75" s="1888" t="e">
        <f ca="1">Q65+Q66</f>
        <v>#N/A</v>
      </c>
      <c r="R75" s="1888" t="s">
        <v>1046</v>
      </c>
    </row>
    <row r="76" spans="1:18">
      <c r="B76" s="388" t="s">
        <v>1505</v>
      </c>
      <c r="C76" s="389" t="e">
        <f ca="1">INDIRECT("'数据-取费表'!j"&amp;$G$1)</f>
        <v>#N/A</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#N/A</v>
      </c>
    </row>
    <row r="80" spans="1:18">
      <c r="B80" s="386" t="s">
        <v>1509</v>
      </c>
      <c r="C80" s="318" t="e">
        <f ca="1">ROUND(C75/C39,3)</f>
        <v>#N/A</v>
      </c>
    </row>
    <row r="81" spans="2:3">
      <c r="B81" s="314" t="s">
        <v>1510</v>
      </c>
      <c r="C81" s="282"/>
    </row>
    <row r="82" spans="2:3">
      <c r="B82" s="317" t="s">
        <v>1511</v>
      </c>
      <c r="C82" s="319" t="e">
        <f ca="1">1-C83</f>
        <v>#N/A</v>
      </c>
    </row>
    <row r="83" spans="2:3">
      <c r="B83" s="317" t="s">
        <v>1512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E20" sqref="E20"/>
      <selection pane="bottomLeft" activeCell="E20" sqref="E20"/>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2859</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9" t="s">
        <v>3265</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9" t="s">
        <v>3266</v>
      </c>
      <c r="D7" s="3010" t="s">
        <v>3267</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70</v>
      </c>
      <c r="E18" s="1244">
        <f>'比较法-商业'!E93</f>
        <v>60</v>
      </c>
      <c r="F18" s="1244">
        <f>'比较法-商业'!F93</f>
        <v>60</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7743</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13584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5700</v>
      </c>
      <c r="C22" s="3151" t="s">
        <v>33</v>
      </c>
      <c r="D22" s="3152"/>
      <c r="E22" s="3152"/>
      <c r="F22" s="3152"/>
      <c r="G22" s="3152"/>
      <c r="H22" s="3152"/>
      <c r="I22" s="3152"/>
      <c r="J22" s="3152"/>
      <c r="K22" s="3152"/>
      <c r="L22" s="3152"/>
      <c r="M22" s="3152"/>
      <c r="N22" s="3152"/>
      <c r="O22" s="3152"/>
      <c r="P22" s="3152"/>
      <c r="Q22" s="3260"/>
      <c r="R22" s="715">
        <f ca="1">ROUND(S22*10000/B22,0)</f>
        <v>13584</v>
      </c>
      <c r="S22" s="24">
        <f ca="1">SUM(S24:S10000)</f>
        <v>7743</v>
      </c>
    </row>
    <row r="23" spans="1:45" s="12" customFormat="1" ht="24">
      <c r="A23" s="11" t="s">
        <v>3003</v>
      </c>
      <c r="B23" s="11" t="s">
        <v>3004</v>
      </c>
      <c r="C23" s="11" t="s">
        <v>3005</v>
      </c>
      <c r="D23" s="11" t="str">
        <f>B5</f>
        <v>可视性</v>
      </c>
      <c r="E23" s="11" t="s">
        <v>3005</v>
      </c>
      <c r="F23" s="11" t="str">
        <f>B7</f>
        <v>业态</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面积1!B3</f>
        <v>新疆维吾尔自治区乌鲁木齐市沙依巴克区长江路52号1栋1层2商业用房房地产</v>
      </c>
      <c r="B24" s="717">
        <f>面积1!D3</f>
        <v>927</v>
      </c>
      <c r="C24" s="718">
        <v>1</v>
      </c>
      <c r="D24" s="719" t="s">
        <v>3134</v>
      </c>
      <c r="E24" s="718">
        <v>1</v>
      </c>
      <c r="F24" s="719" t="s">
        <v>3214</v>
      </c>
      <c r="G24" s="718">
        <v>1</v>
      </c>
      <c r="H24" s="719"/>
      <c r="I24" s="718">
        <v>1</v>
      </c>
      <c r="J24" s="719"/>
      <c r="K24" s="718">
        <v>1</v>
      </c>
      <c r="L24" s="719"/>
      <c r="M24" s="718">
        <v>1</v>
      </c>
      <c r="N24" s="719"/>
      <c r="O24" s="718">
        <v>1</v>
      </c>
      <c r="P24" s="719" t="s">
        <v>3192</v>
      </c>
      <c r="Q24" s="718">
        <v>1</v>
      </c>
      <c r="R24" s="720">
        <f ca="1">'结果表（商业）'!G20</f>
        <v>20905</v>
      </c>
      <c r="S24" s="718">
        <f t="shared" ref="S24:S87" ca="1" si="5">ROUND(R24*B24/10000,0)</f>
        <v>1938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面积1!B4</f>
        <v>新疆维吾尔自治区乌鲁木齐市沙依巴克区长江路52号1栋2层商业用房房地产</v>
      </c>
      <c r="B25" s="717">
        <f>面积1!D4</f>
        <v>1364</v>
      </c>
      <c r="C25" s="24">
        <f>IF(B25="",1,(LOOKUP(B25,$3:$3,$4:$4)-LOOKUP($B$24,$3:$3,$4:$4)+100)/100)</f>
        <v>0.97</v>
      </c>
      <c r="D25" s="719" t="s">
        <v>3133</v>
      </c>
      <c r="E25" s="24">
        <f>(SUMIF($5:$5,D25,$6:$6)-SUMIF($5:$5,$D$24,$6:$6)+100)/100</f>
        <v>0.98</v>
      </c>
      <c r="F25" s="719" t="s">
        <v>3214</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3268</v>
      </c>
      <c r="Q25" s="24">
        <f>(SUMIF($17:$17,P25,$18:$18)-SUMIF($17:$17,$P$24,$18:$18)+100)/100</f>
        <v>0.7</v>
      </c>
      <c r="R25" s="715">
        <f ca="1">IF(B25="",0,ROUND($R$24*C25*E25*G25*I25*K25*M25*O25*Q25,0))</f>
        <v>13911</v>
      </c>
      <c r="S25" s="361">
        <f t="shared" ca="1" si="5"/>
        <v>1897</v>
      </c>
    </row>
    <row r="26" spans="1:45">
      <c r="A26" s="2965" t="str">
        <f>面积1!B5</f>
        <v>新疆维吾尔自治区乌鲁木齐市沙依巴克区长江路52号1栋3层商业用房房地产</v>
      </c>
      <c r="B26" s="717">
        <f>面积1!D5</f>
        <v>1261</v>
      </c>
      <c r="C26" s="24">
        <f t="shared" ref="C26:C89" si="6">IF(B26="",1,(LOOKUP(B26,$3:$3,$4:$4)-LOOKUP($B$24,$3:$3,$4:$4)+100)/100)</f>
        <v>0.97</v>
      </c>
      <c r="D26" s="719" t="s">
        <v>3133</v>
      </c>
      <c r="E26" s="24">
        <f t="shared" ref="E26:E89" si="7">(SUMIF($5:$5,D26,$6:$6)-SUMIF($5:$5,$D$24,$6:$6)+100)/100</f>
        <v>0.98</v>
      </c>
      <c r="F26" s="719" t="s">
        <v>3214</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3269</v>
      </c>
      <c r="Q26" s="24">
        <f t="shared" ref="Q26:Q89" si="13">(SUMIF($17:$17,P26,$18:$18)-SUMIF($17:$17,$P$24,$18:$18)+100)/100</f>
        <v>0.6</v>
      </c>
      <c r="R26" s="715">
        <f t="shared" ref="R26:R89" ca="1" si="14">IF(B26="",0,ROUND($R$24*C26*E26*G26*I26*K26*M26*O26*Q26,0))</f>
        <v>11923</v>
      </c>
      <c r="S26" s="361">
        <f t="shared" ca="1" si="5"/>
        <v>1503</v>
      </c>
    </row>
    <row r="27" spans="1:45">
      <c r="A27" s="2965" t="str">
        <f>面积1!B6</f>
        <v>新疆维吾尔自治区乌鲁木齐市沙依巴克区长江路52号1栋4层商业用房房地产</v>
      </c>
      <c r="B27" s="717">
        <f>面积1!D6</f>
        <v>1215</v>
      </c>
      <c r="C27" s="24">
        <f t="shared" si="6"/>
        <v>0.97</v>
      </c>
      <c r="D27" s="719" t="s">
        <v>3133</v>
      </c>
      <c r="E27" s="24">
        <f t="shared" si="7"/>
        <v>0.98</v>
      </c>
      <c r="F27" s="719" t="s">
        <v>3214</v>
      </c>
      <c r="G27" s="24">
        <f t="shared" si="8"/>
        <v>1</v>
      </c>
      <c r="H27" s="719"/>
      <c r="I27" s="24">
        <f t="shared" si="9"/>
        <v>1</v>
      </c>
      <c r="J27" s="719"/>
      <c r="K27" s="24">
        <f t="shared" si="10"/>
        <v>1</v>
      </c>
      <c r="L27" s="719"/>
      <c r="M27" s="24">
        <f t="shared" si="11"/>
        <v>1</v>
      </c>
      <c r="N27" s="719"/>
      <c r="O27" s="24">
        <f t="shared" si="12"/>
        <v>1</v>
      </c>
      <c r="P27" s="719" t="s">
        <v>3270</v>
      </c>
      <c r="Q27" s="24">
        <f t="shared" si="13"/>
        <v>0.6</v>
      </c>
      <c r="R27" s="715">
        <f t="shared" ca="1" si="14"/>
        <v>11923</v>
      </c>
      <c r="S27" s="361">
        <f t="shared" ca="1" si="5"/>
        <v>1449</v>
      </c>
    </row>
    <row r="28" spans="1:45">
      <c r="A28" s="2965" t="str">
        <f>面积1!B7</f>
        <v>新疆维吾尔自治区乌鲁木齐市沙依巴克区长江路52号1栋5层商业用房房地产</v>
      </c>
      <c r="B28" s="717">
        <f>面积1!D7</f>
        <v>933</v>
      </c>
      <c r="C28" s="24">
        <f t="shared" si="6"/>
        <v>1</v>
      </c>
      <c r="D28" s="719" t="s">
        <v>3133</v>
      </c>
      <c r="E28" s="24">
        <f t="shared" si="7"/>
        <v>0.98</v>
      </c>
      <c r="F28" s="719" t="s">
        <v>3214</v>
      </c>
      <c r="G28" s="24">
        <f t="shared" si="8"/>
        <v>1</v>
      </c>
      <c r="H28" s="719"/>
      <c r="I28" s="24">
        <f t="shared" si="9"/>
        <v>1</v>
      </c>
      <c r="J28" s="719"/>
      <c r="K28" s="24">
        <f t="shared" si="10"/>
        <v>1</v>
      </c>
      <c r="L28" s="719"/>
      <c r="M28" s="24">
        <f t="shared" si="11"/>
        <v>1</v>
      </c>
      <c r="N28" s="719"/>
      <c r="O28" s="24">
        <f t="shared" si="12"/>
        <v>1</v>
      </c>
      <c r="P28" s="719" t="s">
        <v>3271</v>
      </c>
      <c r="Q28" s="24">
        <f t="shared" si="13"/>
        <v>0.5</v>
      </c>
      <c r="R28" s="715">
        <f t="shared" ca="1" si="14"/>
        <v>10243</v>
      </c>
      <c r="S28" s="361">
        <f t="shared" ca="1" si="5"/>
        <v>956</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2683</v>
      </c>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IF(C2="——",ROUND(C43*D3/10000,0),ROUND(C43*D3/10000,0)-D2)</f>
        <v>#DIV/0!</v>
      </c>
      <c r="C2" s="2583"/>
      <c r="D2" s="1125"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2310</v>
      </c>
      <c r="B3" s="609" t="e">
        <f ca="1">IF(C2="——",C43,ROUND(B2*10000/D3,0))</f>
        <v>#DIV/0!</v>
      </c>
      <c r="C3" s="400" t="s">
        <v>2625</v>
      </c>
      <c r="D3" s="399">
        <f>IF(D1="",'数据-汇总表'!E3,SUMIF('数据-汇总表'!$C19:$C33,D1,'数据-汇总表'!$E19:$E33))</f>
        <v>2282.61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0" si="3">D8/F8</f>
        <v>#DIV/0!</v>
      </c>
      <c r="AB8" s="772" t="e">
        <f t="shared" ref="AB8:AB40" si="4">D8/H8</f>
        <v>#DIV/0!</v>
      </c>
      <c r="AC8" s="772" t="e">
        <f t="shared" ref="AC8:AC40" si="5">D8/J8</f>
        <v>#DIV/0!</v>
      </c>
    </row>
    <row r="9" spans="1:29" s="117" customFormat="1">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9" t="s">
        <v>2684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4" t="s">
        <v>2541</v>
      </c>
      <c r="Q15" s="1812" t="str">
        <f t="shared" si="6"/>
        <v>产业集聚程度</v>
      </c>
      <c r="R15" s="773" t="s">
        <v>17</v>
      </c>
      <c r="S15" s="774">
        <f t="shared" si="0"/>
        <v>100</v>
      </c>
      <c r="T15" s="773" t="s">
        <v>17</v>
      </c>
      <c r="U15" s="774">
        <f t="shared" si="1"/>
        <v>100</v>
      </c>
      <c r="V15" s="773" t="s">
        <v>17</v>
      </c>
      <c r="W15" s="774">
        <f t="shared" si="2"/>
        <v>100</v>
      </c>
      <c r="X15" s="1815"/>
      <c r="Y15" s="3214" t="s">
        <v>2541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451" t="s">
        <v>2080</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451" t="s">
        <v>2669</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5"/>
      <c r="Q19" s="1812" t="str">
        <f>B19</f>
        <v>公共配套设施</v>
      </c>
      <c r="R19" s="773" t="s">
        <v>17</v>
      </c>
      <c r="S19" s="774">
        <f>F19</f>
        <v>100</v>
      </c>
      <c r="T19" s="773" t="s">
        <v>17</v>
      </c>
      <c r="U19" s="774">
        <f>H19</f>
        <v>100</v>
      </c>
      <c r="V19" s="773" t="s">
        <v>17</v>
      </c>
      <c r="W19" s="774">
        <f>J19</f>
        <v>100</v>
      </c>
      <c r="X19" s="1815"/>
      <c r="Y19" s="3215"/>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15"/>
      <c r="Q20" s="1812"/>
      <c r="R20" s="773"/>
      <c r="S20" s="774"/>
      <c r="T20" s="773"/>
      <c r="U20" s="774"/>
      <c r="V20" s="773"/>
      <c r="W20" s="774"/>
      <c r="X20" s="1815"/>
      <c r="Y20" s="3215"/>
      <c r="Z20" s="1816"/>
      <c r="AA20" s="1813">
        <v>1</v>
      </c>
      <c r="AB20" s="1813">
        <v>1</v>
      </c>
      <c r="AC20" s="1813">
        <v>1</v>
      </c>
    </row>
    <row r="21" spans="1:29" ht="15">
      <c r="A21" s="428"/>
      <c r="B21" s="1385" t="s">
        <v>2670</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5"/>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15"/>
      <c r="Q22" s="1812"/>
      <c r="R22" s="773"/>
      <c r="S22" s="774"/>
      <c r="T22" s="773"/>
      <c r="U22" s="774"/>
      <c r="V22" s="773"/>
      <c r="W22" s="774"/>
      <c r="X22" s="1815"/>
      <c r="Y22" s="3215"/>
      <c r="Z22" s="1816"/>
      <c r="AA22" s="1813">
        <v>1</v>
      </c>
      <c r="AB22" s="1813">
        <v>1</v>
      </c>
      <c r="AC22" s="1813">
        <v>1</v>
      </c>
    </row>
    <row r="23" spans="1:29" ht="15">
      <c r="A23" s="428"/>
      <c r="B23" s="451" t="s">
        <v>2671</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5"/>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15"/>
      <c r="Q24" s="1812"/>
      <c r="R24" s="773"/>
      <c r="S24" s="774"/>
      <c r="T24" s="773"/>
      <c r="U24" s="774"/>
      <c r="V24" s="773"/>
      <c r="W24" s="774"/>
      <c r="X24" s="1815"/>
      <c r="Y24" s="3215"/>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5"/>
      <c r="Q25" s="1812">
        <f>B25</f>
        <v>111</v>
      </c>
      <c r="R25" s="773" t="s">
        <v>17</v>
      </c>
      <c r="S25" s="774">
        <f>F25</f>
        <v>100</v>
      </c>
      <c r="T25" s="773" t="s">
        <v>17</v>
      </c>
      <c r="U25" s="774">
        <f>H25</f>
        <v>100</v>
      </c>
      <c r="V25" s="773" t="s">
        <v>17</v>
      </c>
      <c r="W25" s="774">
        <f>J25</f>
        <v>100</v>
      </c>
      <c r="X25" s="1815"/>
      <c r="Y25" s="3215"/>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5"/>
      <c r="Q26" s="1812">
        <f t="shared" ref="Q26:Q40" si="11">B26</f>
        <v>111</v>
      </c>
      <c r="R26" s="773" t="s">
        <v>17</v>
      </c>
      <c r="S26" s="774">
        <f>F26</f>
        <v>100</v>
      </c>
      <c r="T26" s="773" t="s">
        <v>17</v>
      </c>
      <c r="U26" s="774">
        <f>H26</f>
        <v>100</v>
      </c>
      <c r="V26" s="773" t="s">
        <v>17</v>
      </c>
      <c r="W26" s="774">
        <f>J26</f>
        <v>100</v>
      </c>
      <c r="X26" s="1815"/>
      <c r="Y26" s="3215"/>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5"/>
      <c r="Q27" s="1797">
        <f t="shared" si="11"/>
        <v>111</v>
      </c>
      <c r="R27" s="769" t="s">
        <v>17</v>
      </c>
      <c r="S27" s="770">
        <f>F27</f>
        <v>100</v>
      </c>
      <c r="T27" s="769" t="s">
        <v>17</v>
      </c>
      <c r="U27" s="770">
        <f>H27</f>
        <v>100</v>
      </c>
      <c r="V27" s="769" t="s">
        <v>17</v>
      </c>
      <c r="W27" s="770">
        <f>J27</f>
        <v>100</v>
      </c>
      <c r="X27" s="771"/>
      <c r="Y27" s="3215"/>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5"/>
      <c r="Q28" s="1812">
        <f t="shared" si="11"/>
        <v>111</v>
      </c>
      <c r="R28" s="773" t="s">
        <v>17</v>
      </c>
      <c r="S28" s="774">
        <f t="shared" ref="S28:S40" si="12">F28</f>
        <v>100</v>
      </c>
      <c r="T28" s="773" t="s">
        <v>17</v>
      </c>
      <c r="U28" s="774">
        <f t="shared" ref="U28:U40" si="13">H28</f>
        <v>100</v>
      </c>
      <c r="V28" s="773" t="s">
        <v>17</v>
      </c>
      <c r="W28" s="774">
        <f t="shared" ref="W28:W40" si="14">J28</f>
        <v>100</v>
      </c>
      <c r="X28" s="1815"/>
      <c r="Y28" s="3215"/>
      <c r="Z28" s="1816">
        <f t="shared" ref="Z28:Z40" si="15">Q28</f>
        <v>111</v>
      </c>
      <c r="AA28" s="1813">
        <f t="shared" si="3"/>
        <v>1</v>
      </c>
      <c r="AB28" s="1813">
        <f t="shared" si="4"/>
        <v>1</v>
      </c>
      <c r="AC28" s="1813">
        <f t="shared" si="5"/>
        <v>1</v>
      </c>
    </row>
    <row r="29" spans="1:29" ht="15">
      <c r="A29" s="466" t="s">
        <v>2544</v>
      </c>
      <c r="B29" s="71" t="s">
        <v>2674</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09" t="s">
        <v>2546</v>
      </c>
      <c r="Q29" s="1812" t="str">
        <f t="shared" si="11"/>
        <v>建筑类型</v>
      </c>
      <c r="R29" s="773" t="s">
        <v>17</v>
      </c>
      <c r="S29" s="774">
        <f t="shared" si="12"/>
        <v>100</v>
      </c>
      <c r="T29" s="773" t="s">
        <v>17</v>
      </c>
      <c r="U29" s="774">
        <f t="shared" si="13"/>
        <v>100</v>
      </c>
      <c r="V29" s="773" t="s">
        <v>17</v>
      </c>
      <c r="W29" s="774">
        <f t="shared" si="14"/>
        <v>100</v>
      </c>
      <c r="X29" s="1815"/>
      <c r="Y29" s="3219" t="s">
        <v>2546</v>
      </c>
      <c r="Z29" s="1816" t="str">
        <f t="shared" si="15"/>
        <v>建筑类型</v>
      </c>
      <c r="AA29" s="1813">
        <f t="shared" si="3"/>
        <v>1</v>
      </c>
      <c r="AB29" s="1813">
        <f t="shared" si="4"/>
        <v>1</v>
      </c>
      <c r="AC29" s="1813">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9"/>
      <c r="Q30" s="775" t="str">
        <f t="shared" si="11"/>
        <v>项目建筑规模</v>
      </c>
      <c r="R30" s="776" t="s">
        <v>17</v>
      </c>
      <c r="S30" s="777" t="e">
        <f t="shared" si="12"/>
        <v>#N/A</v>
      </c>
      <c r="T30" s="776" t="s">
        <v>17</v>
      </c>
      <c r="U30" s="777" t="e">
        <f t="shared" si="13"/>
        <v>#N/A</v>
      </c>
      <c r="V30" s="776" t="s">
        <v>17</v>
      </c>
      <c r="W30" s="777" t="e">
        <f t="shared" si="14"/>
        <v>#N/A</v>
      </c>
      <c r="X30" s="778"/>
      <c r="Y30" s="3219"/>
      <c r="Z30" s="779" t="str">
        <f t="shared" si="15"/>
        <v>项目建筑规模</v>
      </c>
      <c r="AA30" s="1813" t="e">
        <f t="shared" si="3"/>
        <v>#N/A</v>
      </c>
      <c r="AB30" s="1813" t="e">
        <f t="shared" si="4"/>
        <v>#N/A</v>
      </c>
      <c r="AC30" s="1813"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9"/>
      <c r="Q31" s="1812" t="str">
        <f t="shared" si="11"/>
        <v>建筑结构</v>
      </c>
      <c r="R31" s="773" t="s">
        <v>17</v>
      </c>
      <c r="S31" s="774">
        <f t="shared" si="12"/>
        <v>100</v>
      </c>
      <c r="T31" s="773" t="s">
        <v>17</v>
      </c>
      <c r="U31" s="774">
        <f t="shared" si="13"/>
        <v>100</v>
      </c>
      <c r="V31" s="773" t="s">
        <v>17</v>
      </c>
      <c r="W31" s="774">
        <f t="shared" si="14"/>
        <v>100</v>
      </c>
      <c r="X31" s="1815"/>
      <c r="Y31" s="3219"/>
      <c r="Z31" s="1816" t="str">
        <f t="shared" si="15"/>
        <v>建筑结构</v>
      </c>
      <c r="AA31" s="1813">
        <f t="shared" si="3"/>
        <v>1</v>
      </c>
      <c r="AB31" s="1813">
        <f t="shared" si="4"/>
        <v>1</v>
      </c>
      <c r="AC31" s="1813">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9"/>
      <c r="Q32" s="1812" t="str">
        <f t="shared" si="11"/>
        <v>公共部分装修</v>
      </c>
      <c r="R32" s="773" t="s">
        <v>17</v>
      </c>
      <c r="S32" s="774">
        <f t="shared" si="12"/>
        <v>100</v>
      </c>
      <c r="T32" s="773" t="s">
        <v>17</v>
      </c>
      <c r="U32" s="774">
        <f t="shared" si="13"/>
        <v>100</v>
      </c>
      <c r="V32" s="773" t="s">
        <v>17</v>
      </c>
      <c r="W32" s="774">
        <f t="shared" si="14"/>
        <v>100</v>
      </c>
      <c r="X32" s="1815"/>
      <c r="Y32" s="3219"/>
      <c r="Z32" s="1816" t="str">
        <f t="shared" si="15"/>
        <v>公共部分装修</v>
      </c>
      <c r="AA32" s="1813">
        <f t="shared" si="3"/>
        <v>1</v>
      </c>
      <c r="AB32" s="1813">
        <f t="shared" si="4"/>
        <v>1</v>
      </c>
      <c r="AC32" s="1813">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9"/>
      <c r="Q33" s="1812" t="str">
        <f t="shared" si="11"/>
        <v>成新度</v>
      </c>
      <c r="R33" s="773" t="s">
        <v>17</v>
      </c>
      <c r="S33" s="774" t="e">
        <f t="shared" si="12"/>
        <v>#N/A</v>
      </c>
      <c r="T33" s="773" t="s">
        <v>17</v>
      </c>
      <c r="U33" s="774" t="e">
        <f t="shared" si="13"/>
        <v>#N/A</v>
      </c>
      <c r="V33" s="773" t="s">
        <v>17</v>
      </c>
      <c r="W33" s="774" t="e">
        <f t="shared" si="14"/>
        <v>#N/A</v>
      </c>
      <c r="X33" s="1815"/>
      <c r="Y33" s="3219"/>
      <c r="Z33" s="1816" t="str">
        <f t="shared" si="15"/>
        <v>成新度</v>
      </c>
      <c r="AA33" s="1813" t="e">
        <f t="shared" si="3"/>
        <v>#N/A</v>
      </c>
      <c r="AB33" s="1813" t="e">
        <f t="shared" si="4"/>
        <v>#N/A</v>
      </c>
      <c r="AC33" s="1813"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9"/>
      <c r="Q34" s="1797" t="str">
        <f t="shared" si="11"/>
        <v>物业管理</v>
      </c>
      <c r="R34" s="769" t="s">
        <v>17</v>
      </c>
      <c r="S34" s="770">
        <f t="shared" si="12"/>
        <v>100</v>
      </c>
      <c r="T34" s="769" t="s">
        <v>17</v>
      </c>
      <c r="U34" s="770">
        <f t="shared" si="13"/>
        <v>100</v>
      </c>
      <c r="V34" s="769" t="s">
        <v>17</v>
      </c>
      <c r="W34" s="770">
        <f t="shared" si="14"/>
        <v>100</v>
      </c>
      <c r="X34" s="771"/>
      <c r="Y34" s="3219"/>
      <c r="Z34" s="55" t="str">
        <f t="shared" si="15"/>
        <v>物业管理</v>
      </c>
      <c r="AA34" s="772">
        <f t="shared" si="3"/>
        <v>1</v>
      </c>
      <c r="AB34" s="772">
        <f t="shared" si="4"/>
        <v>1</v>
      </c>
      <c r="AC34" s="772">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9" t="s">
        <v>2546</v>
      </c>
      <c r="Q35" s="1812" t="str">
        <f t="shared" si="11"/>
        <v>市政基础设施</v>
      </c>
      <c r="R35" s="773" t="s">
        <v>17</v>
      </c>
      <c r="S35" s="774">
        <f t="shared" si="12"/>
        <v>100</v>
      </c>
      <c r="T35" s="773" t="s">
        <v>17</v>
      </c>
      <c r="U35" s="774">
        <f t="shared" si="13"/>
        <v>100</v>
      </c>
      <c r="V35" s="773" t="s">
        <v>17</v>
      </c>
      <c r="W35" s="774">
        <f t="shared" si="14"/>
        <v>100</v>
      </c>
      <c r="X35" s="1815"/>
      <c r="Y35" s="3219" t="s">
        <v>2546</v>
      </c>
      <c r="Z35" s="1816" t="str">
        <f t="shared" si="15"/>
        <v>市政基础设施</v>
      </c>
      <c r="AA35" s="1813">
        <f t="shared" si="3"/>
        <v>1</v>
      </c>
      <c r="AB35" s="1813">
        <f t="shared" si="4"/>
        <v>1</v>
      </c>
      <c r="AC35" s="1813">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9"/>
      <c r="Q36" s="1812" t="str">
        <f t="shared" si="11"/>
        <v>内部装修</v>
      </c>
      <c r="R36" s="773" t="s">
        <v>17</v>
      </c>
      <c r="S36" s="774">
        <f t="shared" si="12"/>
        <v>100</v>
      </c>
      <c r="T36" s="773" t="s">
        <v>17</v>
      </c>
      <c r="U36" s="774">
        <f t="shared" si="13"/>
        <v>100</v>
      </c>
      <c r="V36" s="773" t="s">
        <v>17</v>
      </c>
      <c r="W36" s="774">
        <f t="shared" si="14"/>
        <v>100</v>
      </c>
      <c r="X36" s="1815"/>
      <c r="Y36" s="3219"/>
      <c r="Z36" s="1816" t="str">
        <f t="shared" si="15"/>
        <v>内部装修</v>
      </c>
      <c r="AA36" s="1813">
        <f t="shared" si="3"/>
        <v>1</v>
      </c>
      <c r="AB36" s="1813">
        <f t="shared" si="4"/>
        <v>1</v>
      </c>
      <c r="AC36" s="1813">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9"/>
      <c r="Q37" s="1812" t="str">
        <f t="shared" si="11"/>
        <v>内部装修状况</v>
      </c>
      <c r="R37" s="773" t="s">
        <v>17</v>
      </c>
      <c r="S37" s="774">
        <f t="shared" si="12"/>
        <v>100</v>
      </c>
      <c r="T37" s="773" t="s">
        <v>17</v>
      </c>
      <c r="U37" s="774">
        <f t="shared" si="13"/>
        <v>100</v>
      </c>
      <c r="V37" s="773" t="s">
        <v>17</v>
      </c>
      <c r="W37" s="774">
        <f t="shared" si="14"/>
        <v>100</v>
      </c>
      <c r="X37" s="1815"/>
      <c r="Y37" s="3219"/>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9"/>
      <c r="Q38" s="775">
        <f t="shared" si="11"/>
        <v>111</v>
      </c>
      <c r="R38" s="776" t="s">
        <v>17</v>
      </c>
      <c r="S38" s="777">
        <f t="shared" si="12"/>
        <v>100</v>
      </c>
      <c r="T38" s="776" t="s">
        <v>17</v>
      </c>
      <c r="U38" s="777">
        <f t="shared" si="13"/>
        <v>100</v>
      </c>
      <c r="V38" s="776" t="s">
        <v>17</v>
      </c>
      <c r="W38" s="777">
        <f t="shared" si="14"/>
        <v>100</v>
      </c>
      <c r="X38" s="778"/>
      <c r="Y38" s="3219"/>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9"/>
      <c r="Q39" s="1812">
        <f t="shared" si="11"/>
        <v>111</v>
      </c>
      <c r="R39" s="773" t="s">
        <v>17</v>
      </c>
      <c r="S39" s="774">
        <f t="shared" si="12"/>
        <v>100</v>
      </c>
      <c r="T39" s="773" t="s">
        <v>17</v>
      </c>
      <c r="U39" s="774">
        <f t="shared" si="13"/>
        <v>100</v>
      </c>
      <c r="V39" s="773" t="s">
        <v>17</v>
      </c>
      <c r="W39" s="774">
        <f t="shared" si="14"/>
        <v>100</v>
      </c>
      <c r="X39" s="1815"/>
      <c r="Y39" s="3219"/>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0"/>
      <c r="Q40" s="1812">
        <f t="shared" si="11"/>
        <v>111</v>
      </c>
      <c r="R40" s="773" t="s">
        <v>17</v>
      </c>
      <c r="S40" s="774">
        <f t="shared" si="12"/>
        <v>100</v>
      </c>
      <c r="T40" s="773" t="s">
        <v>17</v>
      </c>
      <c r="U40" s="774">
        <f t="shared" si="13"/>
        <v>100</v>
      </c>
      <c r="V40" s="773" t="s">
        <v>17</v>
      </c>
      <c r="W40" s="774">
        <f t="shared" si="14"/>
        <v>100</v>
      </c>
      <c r="X40" s="1815"/>
      <c r="Y40" s="3220"/>
      <c r="Z40" s="1816">
        <f t="shared" si="15"/>
        <v>111</v>
      </c>
      <c r="AA40" s="1813">
        <f t="shared" si="3"/>
        <v>1</v>
      </c>
      <c r="AB40" s="1813">
        <f t="shared" si="4"/>
        <v>1</v>
      </c>
      <c r="AC40" s="1813">
        <f t="shared" si="5"/>
        <v>1</v>
      </c>
    </row>
    <row r="41" spans="1:29" ht="15">
      <c r="A41" s="479" t="s">
        <v>2558</v>
      </c>
      <c r="B41" s="480"/>
      <c r="C41" s="1408" t="s">
        <v>1</v>
      </c>
      <c r="D41" s="1409"/>
      <c r="E41" s="1410"/>
      <c r="F41" s="1411"/>
      <c r="G41" s="1412"/>
      <c r="H41" s="1413"/>
      <c r="I41" s="1410"/>
      <c r="J41" s="1413"/>
      <c r="K41" s="782"/>
      <c r="L41" s="1144"/>
      <c r="M41" s="1145"/>
      <c r="N41" s="1132"/>
      <c r="O41" s="1145"/>
      <c r="P41" s="3207" t="str">
        <f>A41</f>
        <v>成交单价（元/平方米）</v>
      </c>
      <c r="Q41" s="3207"/>
      <c r="R41" s="3208">
        <f>E41</f>
        <v>0</v>
      </c>
      <c r="S41" s="3208"/>
      <c r="T41" s="3208">
        <f>G41</f>
        <v>0</v>
      </c>
      <c r="U41" s="3208"/>
      <c r="V41" s="3208">
        <f>I41</f>
        <v>0</v>
      </c>
      <c r="W41" s="3208"/>
      <c r="X41" s="758"/>
      <c r="Y41" s="780"/>
      <c r="Z41" s="758"/>
      <c r="AA41" s="758"/>
      <c r="AB41" s="758"/>
      <c r="AC41" s="758"/>
    </row>
    <row r="42" spans="1:29" ht="15.75" thickBot="1">
      <c r="A42" s="486" t="s">
        <v>2650</v>
      </c>
      <c r="B42" s="487"/>
      <c r="C42" s="1414" t="e">
        <f>R43</f>
        <v>#DIV/0!</v>
      </c>
      <c r="D42" s="1415"/>
      <c r="E42" s="1416" t="e">
        <f>R42</f>
        <v>#DIV/0!</v>
      </c>
      <c r="F42" s="1416"/>
      <c r="G42" s="1414" t="e">
        <f>T42</f>
        <v>#DIV/0!</v>
      </c>
      <c r="H42" s="1415"/>
      <c r="I42" s="1416" t="e">
        <f>V42</f>
        <v>#DIV/0!</v>
      </c>
      <c r="J42" s="1415"/>
      <c r="K42" s="783"/>
      <c r="L42" s="1144"/>
      <c r="M42" s="1145"/>
      <c r="N42" s="1132"/>
      <c r="O42" s="1145"/>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8"/>
      <c r="Y42" s="758"/>
      <c r="Z42" s="758"/>
      <c r="AA42" s="758"/>
      <c r="AB42" s="758"/>
      <c r="AC42" s="758"/>
    </row>
    <row r="43" spans="1:29" ht="15.75" thickBot="1">
      <c r="A43" s="492" t="s">
        <v>2651</v>
      </c>
      <c r="B43" s="493"/>
      <c r="C43" s="1418" t="e">
        <f>R43</f>
        <v>#DIV/0!</v>
      </c>
      <c r="D43" s="1418"/>
      <c r="E43" s="1418"/>
      <c r="F43" s="1418"/>
      <c r="G43" s="1418"/>
      <c r="H43" s="1418"/>
      <c r="I43" s="1418"/>
      <c r="J43" s="1418"/>
      <c r="K43" s="784"/>
      <c r="L43" s="1144"/>
      <c r="M43" s="1145"/>
      <c r="N43" s="1145"/>
      <c r="O43" s="1145"/>
      <c r="P43" s="3267" t="str">
        <f>A43</f>
        <v>估价对象XX用房的比较价值（楼面单价，元/平方米）</v>
      </c>
      <c r="Q43" s="3268"/>
      <c r="R43" s="3269" t="e">
        <f>IF(F1="售价",ROUND(AVERAGE(R42:V42),0),ROUND(AVERAGE(R42:V42),1))</f>
        <v>#DIV/0!</v>
      </c>
      <c r="S43" s="3269"/>
      <c r="T43" s="3269"/>
      <c r="U43" s="3269"/>
      <c r="V43" s="3269"/>
      <c r="W43" s="3269"/>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2655</v>
      </c>
      <c r="B51" s="758"/>
      <c r="C51" s="763"/>
      <c r="D51" s="763"/>
      <c r="E51" s="763"/>
      <c r="F51" s="764"/>
      <c r="G51" s="764"/>
      <c r="H51" s="763"/>
      <c r="I51" s="763"/>
      <c r="J51" s="763"/>
      <c r="K51" s="1161"/>
      <c r="L51" s="1162"/>
      <c r="M51" s="1160"/>
      <c r="N51" s="1160"/>
      <c r="O51" s="1160"/>
      <c r="P51" s="503"/>
      <c r="Q51" s="504"/>
    </row>
    <row r="52" spans="1:17" s="508" customFormat="1" ht="15">
      <c r="A52" s="505" t="s">
        <v>2529</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2569</v>
      </c>
      <c r="B57" s="528" t="s">
        <v>2535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2538</v>
      </c>
      <c r="C59" s="539" t="s">
        <v>2570</v>
      </c>
      <c r="D59" s="539" t="s">
        <v>2571</v>
      </c>
      <c r="E59" s="539" t="s">
        <v>2572</v>
      </c>
      <c r="F59" s="539" t="s">
        <v>2573</v>
      </c>
      <c r="G59" s="539" t="s">
        <v>2574</v>
      </c>
      <c r="H59" s="539" t="s">
        <v>2575</v>
      </c>
      <c r="I59" s="539" t="s">
        <v>2576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2540</v>
      </c>
      <c r="B70" s="528" t="s">
        <v>2686</v>
      </c>
      <c r="C70" s="573" t="s">
        <v>2578</v>
      </c>
      <c r="D70" s="573" t="s">
        <v>2579</v>
      </c>
      <c r="E70" s="573" t="s">
        <v>2580</v>
      </c>
      <c r="F70" s="573" t="s">
        <v>2581</v>
      </c>
      <c r="G70" s="573" t="s">
        <v>2582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2583</v>
      </c>
      <c r="C72" s="578" t="s">
        <v>2578</v>
      </c>
      <c r="D72" s="578" t="s">
        <v>2579</v>
      </c>
      <c r="E72" s="578" t="s">
        <v>2580</v>
      </c>
      <c r="F72" s="578" t="s">
        <v>2581</v>
      </c>
      <c r="G72" s="578" t="s">
        <v>2582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2584</v>
      </c>
      <c r="C74" s="578" t="s">
        <v>2578</v>
      </c>
      <c r="D74" s="578" t="s">
        <v>2579</v>
      </c>
      <c r="E74" s="578" t="s">
        <v>2580</v>
      </c>
      <c r="F74" s="578" t="s">
        <v>2581</v>
      </c>
      <c r="G74" s="578" t="s">
        <v>2582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2670</v>
      </c>
      <c r="C76" s="660" t="s">
        <v>2656</v>
      </c>
      <c r="D76" s="660" t="s">
        <v>2657</v>
      </c>
      <c r="E76" s="660" t="s">
        <v>2658</v>
      </c>
      <c r="F76" s="660" t="s">
        <v>2659</v>
      </c>
      <c r="G76" s="660" t="s">
        <v>2660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2679</v>
      </c>
      <c r="C78" s="578" t="s">
        <v>2578</v>
      </c>
      <c r="D78" s="578" t="s">
        <v>2579</v>
      </c>
      <c r="E78" s="578" t="s">
        <v>2580</v>
      </c>
      <c r="F78" s="578" t="s">
        <v>2581</v>
      </c>
      <c r="G78" s="578" t="s">
        <v>2582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2544</v>
      </c>
      <c r="B88" s="528" t="s">
        <v>2593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2595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2597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2598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2599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2687</v>
      </c>
      <c r="C106" s="578" t="s">
        <v>2578</v>
      </c>
      <c r="D106" s="578" t="s">
        <v>2579</v>
      </c>
      <c r="E106" s="578" t="s">
        <v>2580</v>
      </c>
      <c r="F106" s="578" t="s">
        <v>2581</v>
      </c>
      <c r="G106" s="578" t="s">
        <v>2582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4" t="s">
        <v>2517</v>
      </c>
      <c r="D4" s="3225"/>
      <c r="E4" s="3226" t="s">
        <v>2518</v>
      </c>
      <c r="F4" s="3227"/>
      <c r="G4" s="3224" t="s">
        <v>2519</v>
      </c>
      <c r="H4" s="3225"/>
      <c r="I4" s="3224" t="s">
        <v>2520</v>
      </c>
      <c r="J4" s="3225"/>
      <c r="K4" s="2593" t="s">
        <v>2521</v>
      </c>
      <c r="L4" s="1131"/>
      <c r="M4" s="1132"/>
      <c r="N4" s="1132"/>
      <c r="O4" s="1132"/>
      <c r="P4" s="3271" t="s">
        <v>2522</v>
      </c>
      <c r="Q4" s="3272"/>
      <c r="R4" s="3275" t="s">
        <v>2518</v>
      </c>
      <c r="S4" s="3276"/>
      <c r="T4" s="3275" t="s">
        <v>2519</v>
      </c>
      <c r="U4" s="3276"/>
      <c r="V4" s="3241" t="s">
        <v>2520</v>
      </c>
      <c r="W4" s="3241"/>
      <c r="X4" s="2937"/>
      <c r="Y4" s="3275" t="s">
        <v>2522</v>
      </c>
      <c r="Z4" s="3276"/>
      <c r="AA4" s="3270" t="s">
        <v>2518</v>
      </c>
      <c r="AB4" s="3270" t="s">
        <v>2519</v>
      </c>
      <c r="AC4" s="3270" t="s">
        <v>2520</v>
      </c>
    </row>
    <row r="5" spans="1:29" ht="15">
      <c r="A5" s="404"/>
      <c r="B5" s="405"/>
      <c r="C5" s="3279" t="s">
        <v>2523</v>
      </c>
      <c r="D5" s="3280"/>
      <c r="E5" s="3283" t="s">
        <v>2524</v>
      </c>
      <c r="F5" s="3284"/>
      <c r="G5" s="3279" t="s">
        <v>2525</v>
      </c>
      <c r="H5" s="3280"/>
      <c r="I5" s="3279" t="s">
        <v>2526</v>
      </c>
      <c r="J5" s="3280"/>
      <c r="K5" s="2594"/>
      <c r="L5" s="1131"/>
      <c r="M5" s="1132"/>
      <c r="N5" s="1132"/>
      <c r="O5" s="1132"/>
      <c r="P5" s="3273"/>
      <c r="Q5" s="3231"/>
      <c r="R5" s="3236"/>
      <c r="S5" s="3237"/>
      <c r="T5" s="3236"/>
      <c r="U5" s="3237"/>
      <c r="V5" s="3241"/>
      <c r="W5" s="3241"/>
      <c r="X5" s="2937"/>
      <c r="Y5" s="3236"/>
      <c r="Z5" s="3237"/>
      <c r="AA5" s="3251"/>
      <c r="AB5" s="3251"/>
      <c r="AC5" s="3251"/>
    </row>
    <row r="6" spans="1:29" ht="15.75" thickBot="1">
      <c r="A6" s="406"/>
      <c r="B6" s="407"/>
      <c r="C6" s="3277" t="s">
        <v>2527</v>
      </c>
      <c r="D6" s="3278"/>
      <c r="E6" s="3281" t="s">
        <v>2527</v>
      </c>
      <c r="F6" s="3282"/>
      <c r="G6" s="3277" t="s">
        <v>2527</v>
      </c>
      <c r="H6" s="3278"/>
      <c r="I6" s="3277" t="s">
        <v>2527</v>
      </c>
      <c r="J6" s="3278"/>
      <c r="K6" s="2594" t="s">
        <v>2528</v>
      </c>
      <c r="L6" s="1131"/>
      <c r="M6" s="1132"/>
      <c r="N6" s="1132"/>
      <c r="O6" s="1132"/>
      <c r="P6" s="3274"/>
      <c r="Q6" s="3233"/>
      <c r="R6" s="3236"/>
      <c r="S6" s="3237"/>
      <c r="T6" s="3238"/>
      <c r="U6" s="3239"/>
      <c r="V6" s="3241"/>
      <c r="W6" s="3241"/>
      <c r="X6" s="2937"/>
      <c r="Y6" s="3238"/>
      <c r="Z6" s="3239"/>
      <c r="AA6" s="3252"/>
      <c r="AB6" s="3252"/>
      <c r="AC6" s="3252"/>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8" t="s">
        <v>2530</v>
      </c>
      <c r="Q7" s="3249"/>
      <c r="R7" s="769" t="s">
        <v>23</v>
      </c>
      <c r="S7" s="770">
        <f t="shared" ref="S7:S15" si="0">F7</f>
        <v>0</v>
      </c>
      <c r="T7" s="769" t="s">
        <v>23</v>
      </c>
      <c r="U7" s="770">
        <f t="shared" ref="U7:U15" si="1">H7</f>
        <v>0</v>
      </c>
      <c r="V7" s="769" t="s">
        <v>23</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48" t="s">
        <v>2533</v>
      </c>
      <c r="Q8" s="3247"/>
      <c r="R8" s="769" t="s">
        <v>23</v>
      </c>
      <c r="S8" s="770">
        <f t="shared" si="0"/>
        <v>0</v>
      </c>
      <c r="T8" s="769" t="s">
        <v>23</v>
      </c>
      <c r="U8" s="770">
        <f t="shared" si="1"/>
        <v>0</v>
      </c>
      <c r="V8" s="769" t="s">
        <v>23</v>
      </c>
      <c r="W8" s="770">
        <f t="shared" si="2"/>
        <v>0</v>
      </c>
      <c r="X8" s="771"/>
      <c r="Y8" s="3248" t="s">
        <v>2533</v>
      </c>
      <c r="Z8" s="3247"/>
      <c r="AA8" s="772" t="e">
        <f t="shared" ref="AA8:AA19" si="3">D8/F8</f>
        <v>#DIV/0!</v>
      </c>
      <c r="AB8" s="772" t="e">
        <f t="shared" ref="AB8:AB19" si="4">D8/H8</f>
        <v>#DIV/0!</v>
      </c>
      <c r="AC8" s="772" t="e">
        <f t="shared" ref="AC8:AC19" si="5">D8/J8</f>
        <v>#DIV/0!</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6" t="s">
        <v>2536</v>
      </c>
      <c r="Q9" s="2923" t="str">
        <f t="shared" ref="Q9:Q15" si="6">B9</f>
        <v>用途</v>
      </c>
      <c r="R9" s="769" t="s">
        <v>17</v>
      </c>
      <c r="S9" s="770">
        <f t="shared" si="0"/>
        <v>100</v>
      </c>
      <c r="T9" s="769" t="s">
        <v>17</v>
      </c>
      <c r="U9" s="770">
        <f t="shared" si="1"/>
        <v>100</v>
      </c>
      <c r="V9" s="769" t="s">
        <v>17</v>
      </c>
      <c r="W9" s="770">
        <f t="shared" si="2"/>
        <v>100</v>
      </c>
      <c r="X9" s="771"/>
      <c r="Y9" s="3060" t="s">
        <v>2537</v>
      </c>
      <c r="Z9" s="2924" t="str">
        <f t="shared" ref="Z9:Z15" si="7">Q9</f>
        <v>用途</v>
      </c>
      <c r="AA9" s="772">
        <f t="shared" si="3"/>
        <v>1</v>
      </c>
      <c r="AB9" s="772">
        <f t="shared" si="4"/>
        <v>1</v>
      </c>
      <c r="AC9" s="772">
        <f t="shared" si="5"/>
        <v>1</v>
      </c>
    </row>
    <row r="10" spans="1:29" s="427" customFormat="1" ht="27">
      <c r="A10" s="421"/>
      <c r="B10" s="2929"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6"/>
      <c r="Q10" s="2923" t="str">
        <f t="shared" si="6"/>
        <v>土地使用年限（年）</v>
      </c>
      <c r="R10" s="769" t="s">
        <v>17</v>
      </c>
      <c r="S10" s="770">
        <f t="shared" si="0"/>
        <v>100</v>
      </c>
      <c r="T10" s="769" t="s">
        <v>17</v>
      </c>
      <c r="U10" s="770">
        <f t="shared" si="1"/>
        <v>100</v>
      </c>
      <c r="V10" s="769" t="s">
        <v>17</v>
      </c>
      <c r="W10" s="770">
        <f t="shared" si="2"/>
        <v>100</v>
      </c>
      <c r="X10" s="771"/>
      <c r="Y10" s="3060"/>
      <c r="Z10" s="2924" t="str">
        <f t="shared" si="7"/>
        <v>土地使用年限（年）</v>
      </c>
      <c r="AA10" s="772">
        <f t="shared" si="3"/>
        <v>1</v>
      </c>
      <c r="AB10" s="772">
        <f t="shared" si="4"/>
        <v>1</v>
      </c>
      <c r="AC10" s="772">
        <f t="shared" si="5"/>
        <v>1</v>
      </c>
    </row>
    <row r="11" spans="1:29" ht="15">
      <c r="A11" s="428"/>
      <c r="B11" s="2929"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6"/>
      <c r="Q11" s="2923" t="str">
        <f t="shared" si="6"/>
        <v>容积率</v>
      </c>
      <c r="R11" s="769" t="s">
        <v>21</v>
      </c>
      <c r="S11" s="770" t="e">
        <f t="shared" si="0"/>
        <v>#N/A</v>
      </c>
      <c r="T11" s="769" t="s">
        <v>21</v>
      </c>
      <c r="U11" s="770" t="e">
        <f t="shared" si="1"/>
        <v>#N/A</v>
      </c>
      <c r="V11" s="769" t="s">
        <v>21</v>
      </c>
      <c r="W11" s="770" t="e">
        <f t="shared" si="2"/>
        <v>#N/A</v>
      </c>
      <c r="X11" s="771"/>
      <c r="Y11" s="3060"/>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6"/>
      <c r="Q12" s="2923">
        <f t="shared" si="6"/>
        <v>111</v>
      </c>
      <c r="R12" s="769" t="s">
        <v>21</v>
      </c>
      <c r="S12" s="770">
        <f t="shared" si="0"/>
        <v>100</v>
      </c>
      <c r="T12" s="769" t="s">
        <v>21</v>
      </c>
      <c r="U12" s="770">
        <f t="shared" si="1"/>
        <v>100</v>
      </c>
      <c r="V12" s="769" t="s">
        <v>21</v>
      </c>
      <c r="W12" s="770">
        <f t="shared" si="2"/>
        <v>100</v>
      </c>
      <c r="X12" s="771"/>
      <c r="Y12" s="3060"/>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6"/>
      <c r="Q13" s="2923">
        <f t="shared" si="6"/>
        <v>111</v>
      </c>
      <c r="R13" s="769" t="s">
        <v>21</v>
      </c>
      <c r="S13" s="770">
        <f t="shared" si="0"/>
        <v>100</v>
      </c>
      <c r="T13" s="769" t="s">
        <v>21</v>
      </c>
      <c r="U13" s="770">
        <f t="shared" si="1"/>
        <v>100</v>
      </c>
      <c r="V13" s="769" t="s">
        <v>21</v>
      </c>
      <c r="W13" s="770">
        <f t="shared" si="2"/>
        <v>100</v>
      </c>
      <c r="X13" s="771"/>
      <c r="Y13" s="3060"/>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6"/>
      <c r="Q14" s="2923">
        <f t="shared" si="6"/>
        <v>111</v>
      </c>
      <c r="R14" s="769" t="s">
        <v>21</v>
      </c>
      <c r="S14" s="770">
        <f t="shared" si="0"/>
        <v>100</v>
      </c>
      <c r="T14" s="769" t="s">
        <v>21</v>
      </c>
      <c r="U14" s="770">
        <f t="shared" si="1"/>
        <v>100</v>
      </c>
      <c r="V14" s="769" t="s">
        <v>21</v>
      </c>
      <c r="W14" s="770">
        <f t="shared" si="2"/>
        <v>100</v>
      </c>
      <c r="X14" s="771"/>
      <c r="Y14" s="3060"/>
      <c r="Z14" s="2924">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2" t="s">
        <v>2541</v>
      </c>
      <c r="Q15" s="2935" t="str">
        <f t="shared" si="6"/>
        <v>居住社区成熟度</v>
      </c>
      <c r="R15" s="773" t="s">
        <v>21</v>
      </c>
      <c r="S15" s="774">
        <f t="shared" si="0"/>
        <v>100</v>
      </c>
      <c r="T15" s="773" t="s">
        <v>21</v>
      </c>
      <c r="U15" s="774">
        <f t="shared" si="1"/>
        <v>100</v>
      </c>
      <c r="V15" s="773" t="s">
        <v>21</v>
      </c>
      <c r="W15" s="774">
        <f t="shared" si="2"/>
        <v>100</v>
      </c>
      <c r="X15" s="2937"/>
      <c r="Y15" s="3214" t="s">
        <v>2541</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13"/>
      <c r="Q16" s="2935"/>
      <c r="R16" s="773"/>
      <c r="S16" s="774"/>
      <c r="T16" s="773"/>
      <c r="U16" s="774"/>
      <c r="V16" s="773"/>
      <c r="W16" s="774"/>
      <c r="X16" s="2937"/>
      <c r="Y16" s="3215"/>
      <c r="Z16" s="2938"/>
      <c r="AA16" s="2936">
        <v>1</v>
      </c>
      <c r="AB16" s="2936">
        <v>1</v>
      </c>
      <c r="AC16" s="2936">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3"/>
      <c r="Q17" s="2935" t="str">
        <f>B17</f>
        <v>交通便捷度</v>
      </c>
      <c r="R17" s="773" t="s">
        <v>21</v>
      </c>
      <c r="S17" s="774">
        <f>F17</f>
        <v>100</v>
      </c>
      <c r="T17" s="773" t="s">
        <v>21</v>
      </c>
      <c r="U17" s="774">
        <f>H17</f>
        <v>100</v>
      </c>
      <c r="V17" s="773" t="s">
        <v>21</v>
      </c>
      <c r="W17" s="774">
        <f>J17</f>
        <v>100</v>
      </c>
      <c r="X17" s="2937"/>
      <c r="Y17" s="3215"/>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13"/>
      <c r="Q18" s="2935"/>
      <c r="R18" s="773"/>
      <c r="S18" s="774"/>
      <c r="T18" s="773"/>
      <c r="U18" s="774"/>
      <c r="V18" s="773"/>
      <c r="W18" s="774"/>
      <c r="X18" s="2937"/>
      <c r="Y18" s="3215"/>
      <c r="Z18" s="2938"/>
      <c r="AA18" s="2936">
        <v>1</v>
      </c>
      <c r="AB18" s="2936">
        <v>1</v>
      </c>
      <c r="AC18" s="2936">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3"/>
      <c r="Q19" s="2935" t="str">
        <f>B19</f>
        <v>公共配套设施</v>
      </c>
      <c r="R19" s="773" t="s">
        <v>21</v>
      </c>
      <c r="S19" s="774">
        <f>F19</f>
        <v>100</v>
      </c>
      <c r="T19" s="773" t="s">
        <v>21</v>
      </c>
      <c r="U19" s="774">
        <f>H19</f>
        <v>100</v>
      </c>
      <c r="V19" s="773" t="s">
        <v>21</v>
      </c>
      <c r="W19" s="774">
        <f>J19</f>
        <v>100</v>
      </c>
      <c r="X19" s="2937"/>
      <c r="Y19" s="3215"/>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13"/>
      <c r="Q20" s="2935"/>
      <c r="R20" s="773"/>
      <c r="S20" s="774"/>
      <c r="T20" s="773"/>
      <c r="U20" s="774"/>
      <c r="V20" s="773"/>
      <c r="W20" s="774"/>
      <c r="X20" s="2937"/>
      <c r="Y20" s="3215"/>
      <c r="Z20" s="2938"/>
      <c r="AA20" s="2936">
        <v>1</v>
      </c>
      <c r="AB20" s="2936">
        <v>1</v>
      </c>
      <c r="AC20" s="2936">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3"/>
      <c r="Q21" s="2935" t="str">
        <f>B21</f>
        <v>基础设施水平</v>
      </c>
      <c r="R21" s="773" t="s">
        <v>17</v>
      </c>
      <c r="S21" s="774">
        <f>F21</f>
        <v>100</v>
      </c>
      <c r="T21" s="773" t="s">
        <v>17</v>
      </c>
      <c r="U21" s="774">
        <f>H21</f>
        <v>100</v>
      </c>
      <c r="V21" s="773" t="s">
        <v>17</v>
      </c>
      <c r="W21" s="774">
        <f>J21</f>
        <v>100</v>
      </c>
      <c r="X21" s="2937"/>
      <c r="Y21" s="3215"/>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13"/>
      <c r="Q22" s="2935"/>
      <c r="R22" s="773"/>
      <c r="S22" s="774"/>
      <c r="T22" s="773"/>
      <c r="U22" s="774"/>
      <c r="V22" s="773"/>
      <c r="W22" s="774"/>
      <c r="X22" s="2937"/>
      <c r="Y22" s="3215"/>
      <c r="Z22" s="2938"/>
      <c r="AA22" s="2936">
        <v>1</v>
      </c>
      <c r="AB22" s="2936">
        <v>1</v>
      </c>
      <c r="AC22" s="2936">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3"/>
      <c r="Q23" s="2935" t="str">
        <f>B23</f>
        <v>自然及人文环境</v>
      </c>
      <c r="R23" s="773" t="s">
        <v>21</v>
      </c>
      <c r="S23" s="774">
        <f>F23</f>
        <v>100</v>
      </c>
      <c r="T23" s="773" t="s">
        <v>21</v>
      </c>
      <c r="U23" s="774">
        <f>H23</f>
        <v>100</v>
      </c>
      <c r="V23" s="773" t="s">
        <v>21</v>
      </c>
      <c r="W23" s="774">
        <f>J23</f>
        <v>100</v>
      </c>
      <c r="X23" s="2937"/>
      <c r="Y23" s="3215"/>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13"/>
      <c r="Q24" s="2935"/>
      <c r="R24" s="773"/>
      <c r="S24" s="774"/>
      <c r="T24" s="773"/>
      <c r="U24" s="774"/>
      <c r="V24" s="773"/>
      <c r="W24" s="774"/>
      <c r="X24" s="2937"/>
      <c r="Y24" s="3215"/>
      <c r="Z24" s="2938"/>
      <c r="AA24" s="2936">
        <v>1</v>
      </c>
      <c r="AB24" s="2936">
        <v>1</v>
      </c>
      <c r="AC24" s="2936">
        <v>1</v>
      </c>
    </row>
    <row r="25" spans="1:29" ht="15">
      <c r="A25" s="428"/>
      <c r="B25" s="2929"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13"/>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15"/>
      <c r="Z25" s="2938" t="str">
        <f>Q25</f>
        <v>楼层-1</v>
      </c>
      <c r="AA25" s="2936">
        <f t="shared" ref="AA25:AA46" si="15">D25/F25</f>
        <v>1</v>
      </c>
      <c r="AB25" s="2936">
        <f t="shared" ref="AB25:AB46" si="16">D25/H25</f>
        <v>1</v>
      </c>
      <c r="AC25" s="2936">
        <f t="shared" ref="AC25:AC46" si="17">D25/J25</f>
        <v>1</v>
      </c>
    </row>
    <row r="26" spans="1:29" ht="15">
      <c r="A26" s="428"/>
      <c r="B26" s="2929"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13"/>
      <c r="Q26" s="2935" t="str">
        <f t="shared" si="11"/>
        <v>朝向</v>
      </c>
      <c r="R26" s="773" t="s">
        <v>21</v>
      </c>
      <c r="S26" s="774">
        <f t="shared" si="12"/>
        <v>100</v>
      </c>
      <c r="T26" s="773" t="s">
        <v>21</v>
      </c>
      <c r="U26" s="774">
        <f t="shared" si="13"/>
        <v>100</v>
      </c>
      <c r="V26" s="773" t="s">
        <v>21</v>
      </c>
      <c r="W26" s="774">
        <f t="shared" si="14"/>
        <v>100</v>
      </c>
      <c r="X26" s="2937"/>
      <c r="Y26" s="3215"/>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13"/>
      <c r="Q27" s="2923">
        <f t="shared" si="11"/>
        <v>111</v>
      </c>
      <c r="R27" s="769" t="s">
        <v>21</v>
      </c>
      <c r="S27" s="770">
        <f t="shared" si="12"/>
        <v>100</v>
      </c>
      <c r="T27" s="769" t="s">
        <v>21</v>
      </c>
      <c r="U27" s="770">
        <f t="shared" si="13"/>
        <v>100</v>
      </c>
      <c r="V27" s="769" t="s">
        <v>21</v>
      </c>
      <c r="W27" s="770">
        <f t="shared" si="14"/>
        <v>100</v>
      </c>
      <c r="X27" s="771"/>
      <c r="Y27" s="3215"/>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13"/>
      <c r="Q28" s="2935">
        <f t="shared" si="11"/>
        <v>111</v>
      </c>
      <c r="R28" s="773" t="s">
        <v>21</v>
      </c>
      <c r="S28" s="774">
        <f t="shared" si="12"/>
        <v>100</v>
      </c>
      <c r="T28" s="773" t="s">
        <v>21</v>
      </c>
      <c r="U28" s="774">
        <f t="shared" si="13"/>
        <v>100</v>
      </c>
      <c r="V28" s="773" t="s">
        <v>21</v>
      </c>
      <c r="W28" s="774">
        <f t="shared" si="14"/>
        <v>100</v>
      </c>
      <c r="X28" s="2937"/>
      <c r="Y28" s="3215"/>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13"/>
      <c r="Q29" s="2935">
        <f t="shared" si="11"/>
        <v>111</v>
      </c>
      <c r="R29" s="773" t="s">
        <v>21</v>
      </c>
      <c r="S29" s="774">
        <f t="shared" si="12"/>
        <v>100</v>
      </c>
      <c r="T29" s="773" t="s">
        <v>21</v>
      </c>
      <c r="U29" s="774">
        <f t="shared" si="13"/>
        <v>100</v>
      </c>
      <c r="V29" s="773" t="s">
        <v>21</v>
      </c>
      <c r="W29" s="774">
        <f t="shared" si="14"/>
        <v>100</v>
      </c>
      <c r="X29" s="2937"/>
      <c r="Y29" s="3215"/>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13"/>
      <c r="Q30" s="2935">
        <f t="shared" si="11"/>
        <v>111</v>
      </c>
      <c r="R30" s="773" t="s">
        <v>21</v>
      </c>
      <c r="S30" s="774">
        <f t="shared" si="12"/>
        <v>100</v>
      </c>
      <c r="T30" s="773" t="s">
        <v>21</v>
      </c>
      <c r="U30" s="774">
        <f t="shared" si="13"/>
        <v>100</v>
      </c>
      <c r="V30" s="773" t="s">
        <v>21</v>
      </c>
      <c r="W30" s="774">
        <f t="shared" si="14"/>
        <v>100</v>
      </c>
      <c r="X30" s="2937"/>
      <c r="Y30" s="3215"/>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13"/>
      <c r="Q31" s="2935">
        <f t="shared" si="11"/>
        <v>111</v>
      </c>
      <c r="R31" s="773" t="s">
        <v>21</v>
      </c>
      <c r="S31" s="774">
        <f t="shared" si="12"/>
        <v>100</v>
      </c>
      <c r="T31" s="773" t="s">
        <v>21</v>
      </c>
      <c r="U31" s="774">
        <f t="shared" si="13"/>
        <v>100</v>
      </c>
      <c r="V31" s="773" t="s">
        <v>21</v>
      </c>
      <c r="W31" s="774">
        <f t="shared" si="14"/>
        <v>100</v>
      </c>
      <c r="X31" s="2937"/>
      <c r="Y31" s="3215"/>
      <c r="Z31" s="2938">
        <f t="shared" si="18"/>
        <v>111</v>
      </c>
      <c r="AA31" s="2936">
        <f t="shared" si="15"/>
        <v>1</v>
      </c>
      <c r="AB31" s="2936">
        <f t="shared" si="16"/>
        <v>1</v>
      </c>
      <c r="AC31" s="2936">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6" t="s">
        <v>2546</v>
      </c>
      <c r="Q32" s="2935" t="str">
        <f t="shared" si="11"/>
        <v>建筑类型</v>
      </c>
      <c r="R32" s="773" t="s">
        <v>21</v>
      </c>
      <c r="S32" s="774">
        <f t="shared" si="12"/>
        <v>100</v>
      </c>
      <c r="T32" s="773" t="s">
        <v>21</v>
      </c>
      <c r="U32" s="774">
        <f t="shared" si="13"/>
        <v>100</v>
      </c>
      <c r="V32" s="773" t="s">
        <v>21</v>
      </c>
      <c r="W32" s="774">
        <f t="shared" si="14"/>
        <v>100</v>
      </c>
      <c r="X32" s="2937"/>
      <c r="Y32" s="3219" t="s">
        <v>2546</v>
      </c>
      <c r="Z32" s="2938" t="str">
        <f t="shared" si="18"/>
        <v>建筑类型</v>
      </c>
      <c r="AA32" s="2936">
        <f t="shared" si="15"/>
        <v>1</v>
      </c>
      <c r="AB32" s="2936">
        <f t="shared" si="16"/>
        <v>1</v>
      </c>
      <c r="AC32" s="2936">
        <f t="shared" si="17"/>
        <v>1</v>
      </c>
    </row>
    <row r="33" spans="1:29" s="471" customFormat="1" ht="15">
      <c r="A33" s="468"/>
      <c r="B33" s="2929"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17"/>
      <c r="Q33" s="775" t="str">
        <f t="shared" si="11"/>
        <v>项目建筑规模</v>
      </c>
      <c r="R33" s="776" t="s">
        <v>21</v>
      </c>
      <c r="S33" s="777" t="e">
        <f t="shared" si="12"/>
        <v>#N/A</v>
      </c>
      <c r="T33" s="776" t="s">
        <v>21</v>
      </c>
      <c r="U33" s="777" t="e">
        <f t="shared" si="13"/>
        <v>#N/A</v>
      </c>
      <c r="V33" s="776" t="s">
        <v>21</v>
      </c>
      <c r="W33" s="777" t="e">
        <f t="shared" si="14"/>
        <v>#N/A</v>
      </c>
      <c r="X33" s="778"/>
      <c r="Y33" s="3219"/>
      <c r="Z33" s="779" t="str">
        <f t="shared" si="18"/>
        <v>项目建筑规模</v>
      </c>
      <c r="AA33" s="2936" t="e">
        <f t="shared" si="15"/>
        <v>#N/A</v>
      </c>
      <c r="AB33" s="2936" t="e">
        <f t="shared" si="16"/>
        <v>#N/A</v>
      </c>
      <c r="AC33" s="2936" t="e">
        <f t="shared" si="17"/>
        <v>#N/A</v>
      </c>
    </row>
    <row r="34" spans="1:29" ht="15">
      <c r="A34" s="472"/>
      <c r="B34" s="2929"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7"/>
      <c r="Q34" s="2935" t="str">
        <f t="shared" si="11"/>
        <v>建筑结构</v>
      </c>
      <c r="R34" s="773" t="s">
        <v>21</v>
      </c>
      <c r="S34" s="774">
        <f t="shared" si="12"/>
        <v>100</v>
      </c>
      <c r="T34" s="773" t="s">
        <v>21</v>
      </c>
      <c r="U34" s="774">
        <f t="shared" si="13"/>
        <v>100</v>
      </c>
      <c r="V34" s="773" t="s">
        <v>21</v>
      </c>
      <c r="W34" s="774">
        <f t="shared" si="14"/>
        <v>100</v>
      </c>
      <c r="X34" s="2937"/>
      <c r="Y34" s="3219"/>
      <c r="Z34" s="2938" t="str">
        <f t="shared" si="18"/>
        <v>建筑结构</v>
      </c>
      <c r="AA34" s="2936">
        <f t="shared" si="15"/>
        <v>1</v>
      </c>
      <c r="AB34" s="2936">
        <f t="shared" si="16"/>
        <v>1</v>
      </c>
      <c r="AC34" s="2936">
        <f t="shared" si="17"/>
        <v>1</v>
      </c>
    </row>
    <row r="35" spans="1:29" ht="15">
      <c r="A35" s="472"/>
      <c r="B35" s="2929"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7"/>
      <c r="Q35" s="2935" t="str">
        <f t="shared" si="11"/>
        <v>建筑品质</v>
      </c>
      <c r="R35" s="773" t="s">
        <v>21</v>
      </c>
      <c r="S35" s="774">
        <f t="shared" si="12"/>
        <v>100</v>
      </c>
      <c r="T35" s="773" t="s">
        <v>21</v>
      </c>
      <c r="U35" s="774">
        <f t="shared" si="13"/>
        <v>100</v>
      </c>
      <c r="V35" s="773" t="s">
        <v>21</v>
      </c>
      <c r="W35" s="774">
        <f t="shared" si="14"/>
        <v>100</v>
      </c>
      <c r="X35" s="2937"/>
      <c r="Y35" s="3219"/>
      <c r="Z35" s="2938" t="str">
        <f t="shared" si="18"/>
        <v>建筑品质</v>
      </c>
      <c r="AA35" s="2936">
        <f t="shared" si="15"/>
        <v>1</v>
      </c>
      <c r="AB35" s="2936">
        <f t="shared" si="16"/>
        <v>1</v>
      </c>
      <c r="AC35" s="2936">
        <f t="shared" si="17"/>
        <v>1</v>
      </c>
    </row>
    <row r="36" spans="1:29" ht="15">
      <c r="A36" s="472"/>
      <c r="B36" s="2929"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7"/>
      <c r="Q36" s="2935" t="str">
        <f t="shared" si="11"/>
        <v>公共部分装修</v>
      </c>
      <c r="R36" s="773" t="s">
        <v>21</v>
      </c>
      <c r="S36" s="774">
        <f t="shared" si="12"/>
        <v>100</v>
      </c>
      <c r="T36" s="773" t="s">
        <v>21</v>
      </c>
      <c r="U36" s="774">
        <f t="shared" si="13"/>
        <v>100</v>
      </c>
      <c r="V36" s="773" t="s">
        <v>21</v>
      </c>
      <c r="W36" s="774">
        <f t="shared" si="14"/>
        <v>100</v>
      </c>
      <c r="X36" s="2937"/>
      <c r="Y36" s="3219"/>
      <c r="Z36" s="2938" t="str">
        <f t="shared" si="18"/>
        <v>公共部分装修</v>
      </c>
      <c r="AA36" s="2936">
        <f t="shared" si="15"/>
        <v>1</v>
      </c>
      <c r="AB36" s="2936">
        <f t="shared" si="16"/>
        <v>1</v>
      </c>
      <c r="AC36" s="2936">
        <f t="shared" si="17"/>
        <v>1</v>
      </c>
    </row>
    <row r="37" spans="1:29" s="117" customFormat="1" ht="15">
      <c r="A37" s="473"/>
      <c r="B37" s="2929"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7"/>
      <c r="Q37" s="2923" t="str">
        <f t="shared" si="11"/>
        <v>成新度</v>
      </c>
      <c r="R37" s="769" t="s">
        <v>21</v>
      </c>
      <c r="S37" s="770" t="e">
        <f t="shared" si="12"/>
        <v>#N/A</v>
      </c>
      <c r="T37" s="769" t="s">
        <v>21</v>
      </c>
      <c r="U37" s="770" t="e">
        <f t="shared" si="13"/>
        <v>#N/A</v>
      </c>
      <c r="V37" s="769" t="s">
        <v>21</v>
      </c>
      <c r="W37" s="770" t="e">
        <f t="shared" si="14"/>
        <v>#N/A</v>
      </c>
      <c r="X37" s="771"/>
      <c r="Y37" s="3219"/>
      <c r="Z37" s="2924" t="str">
        <f t="shared" si="18"/>
        <v>成新度</v>
      </c>
      <c r="AA37" s="772" t="e">
        <f t="shared" si="15"/>
        <v>#N/A</v>
      </c>
      <c r="AB37" s="772" t="e">
        <f t="shared" si="16"/>
        <v>#N/A</v>
      </c>
      <c r="AC37" s="772" t="e">
        <f t="shared" si="17"/>
        <v>#N/A</v>
      </c>
    </row>
    <row r="38" spans="1:29" ht="15">
      <c r="A38" s="472"/>
      <c r="B38" s="2929"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7" t="s">
        <v>2546</v>
      </c>
      <c r="Q38" s="2935" t="str">
        <f t="shared" si="11"/>
        <v>物业管理</v>
      </c>
      <c r="R38" s="773" t="s">
        <v>21</v>
      </c>
      <c r="S38" s="774">
        <f t="shared" si="12"/>
        <v>100</v>
      </c>
      <c r="T38" s="773" t="s">
        <v>21</v>
      </c>
      <c r="U38" s="774">
        <f t="shared" si="13"/>
        <v>100</v>
      </c>
      <c r="V38" s="773" t="s">
        <v>21</v>
      </c>
      <c r="W38" s="774">
        <f t="shared" si="14"/>
        <v>100</v>
      </c>
      <c r="X38" s="2937"/>
      <c r="Y38" s="3219" t="s">
        <v>2546</v>
      </c>
      <c r="Z38" s="2938" t="str">
        <f t="shared" si="18"/>
        <v>物业管理</v>
      </c>
      <c r="AA38" s="2936">
        <f t="shared" si="15"/>
        <v>1</v>
      </c>
      <c r="AB38" s="2936">
        <f t="shared" si="16"/>
        <v>1</v>
      </c>
      <c r="AC38" s="2936">
        <f t="shared" si="17"/>
        <v>1</v>
      </c>
    </row>
    <row r="39" spans="1:29" ht="15">
      <c r="A39" s="472"/>
      <c r="B39" s="2929"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7"/>
      <c r="Q39" s="2935" t="str">
        <f t="shared" si="11"/>
        <v>市政基础设施</v>
      </c>
      <c r="R39" s="773" t="s">
        <v>21</v>
      </c>
      <c r="S39" s="774">
        <f t="shared" si="12"/>
        <v>100</v>
      </c>
      <c r="T39" s="773" t="s">
        <v>21</v>
      </c>
      <c r="U39" s="774">
        <f t="shared" si="13"/>
        <v>100</v>
      </c>
      <c r="V39" s="773" t="s">
        <v>21</v>
      </c>
      <c r="W39" s="774">
        <f t="shared" si="14"/>
        <v>100</v>
      </c>
      <c r="X39" s="2937"/>
      <c r="Y39" s="3219"/>
      <c r="Z39" s="2938" t="str">
        <f t="shared" si="18"/>
        <v>市政基础设施</v>
      </c>
      <c r="AA39" s="2936">
        <f t="shared" si="15"/>
        <v>1</v>
      </c>
      <c r="AB39" s="2936">
        <f t="shared" si="16"/>
        <v>1</v>
      </c>
      <c r="AC39" s="2936">
        <f t="shared" si="17"/>
        <v>1</v>
      </c>
    </row>
    <row r="40" spans="1:29" ht="15">
      <c r="A40" s="472"/>
      <c r="B40" s="2929"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7"/>
      <c r="Q40" s="2935" t="str">
        <f t="shared" si="11"/>
        <v>房型</v>
      </c>
      <c r="R40" s="773" t="s">
        <v>21</v>
      </c>
      <c r="S40" s="774">
        <f t="shared" si="12"/>
        <v>100</v>
      </c>
      <c r="T40" s="773" t="s">
        <v>21</v>
      </c>
      <c r="U40" s="774">
        <f t="shared" si="13"/>
        <v>100</v>
      </c>
      <c r="V40" s="773" t="s">
        <v>21</v>
      </c>
      <c r="W40" s="774">
        <f t="shared" si="14"/>
        <v>100</v>
      </c>
      <c r="X40" s="2937"/>
      <c r="Y40" s="3219"/>
      <c r="Z40" s="2938" t="str">
        <f t="shared" si="18"/>
        <v>房型</v>
      </c>
      <c r="AA40" s="2936">
        <f t="shared" si="15"/>
        <v>1</v>
      </c>
      <c r="AB40" s="2936">
        <f t="shared" si="16"/>
        <v>1</v>
      </c>
      <c r="AC40" s="2936">
        <f t="shared" si="17"/>
        <v>1</v>
      </c>
    </row>
    <row r="41" spans="1:29" s="471" customFormat="1" ht="28.5">
      <c r="A41" s="468"/>
      <c r="B41" s="2929"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2936">
        <f t="shared" si="15"/>
        <v>1</v>
      </c>
      <c r="AB41" s="2936">
        <f t="shared" si="16"/>
        <v>1</v>
      </c>
      <c r="AC41" s="2936">
        <f t="shared" si="17"/>
        <v>1</v>
      </c>
    </row>
    <row r="42" spans="1:29" ht="15">
      <c r="A42" s="472"/>
      <c r="B42" s="2929"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7"/>
      <c r="Q42" s="2935" t="str">
        <f t="shared" si="11"/>
        <v>内部装修</v>
      </c>
      <c r="R42" s="773" t="s">
        <v>21</v>
      </c>
      <c r="S42" s="774">
        <f t="shared" si="12"/>
        <v>100</v>
      </c>
      <c r="T42" s="773" t="s">
        <v>21</v>
      </c>
      <c r="U42" s="774">
        <f t="shared" si="13"/>
        <v>100</v>
      </c>
      <c r="V42" s="773" t="s">
        <v>21</v>
      </c>
      <c r="W42" s="774">
        <f t="shared" si="14"/>
        <v>100</v>
      </c>
      <c r="X42" s="2937"/>
      <c r="Y42" s="3219"/>
      <c r="Z42" s="2938" t="str">
        <f t="shared" si="18"/>
        <v>内部装修</v>
      </c>
      <c r="AA42" s="2936">
        <f t="shared" si="15"/>
        <v>1</v>
      </c>
      <c r="AB42" s="2936">
        <f t="shared" si="16"/>
        <v>1</v>
      </c>
      <c r="AC42" s="2936">
        <f t="shared" si="17"/>
        <v>1</v>
      </c>
    </row>
    <row r="43" spans="1:29" ht="15">
      <c r="A43" s="472"/>
      <c r="B43" s="2929"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7"/>
      <c r="Q43" s="2935" t="str">
        <f t="shared" si="11"/>
        <v>内部装修维护情况</v>
      </c>
      <c r="R43" s="773" t="s">
        <v>21</v>
      </c>
      <c r="S43" s="774">
        <f t="shared" si="12"/>
        <v>100</v>
      </c>
      <c r="T43" s="773" t="s">
        <v>21</v>
      </c>
      <c r="U43" s="774">
        <f t="shared" si="13"/>
        <v>100</v>
      </c>
      <c r="V43" s="773" t="s">
        <v>21</v>
      </c>
      <c r="W43" s="774">
        <f t="shared" si="14"/>
        <v>100</v>
      </c>
      <c r="X43" s="2937"/>
      <c r="Y43" s="3219"/>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7"/>
      <c r="Q44" s="2923">
        <f t="shared" si="11"/>
        <v>111</v>
      </c>
      <c r="R44" s="769" t="s">
        <v>21</v>
      </c>
      <c r="S44" s="770">
        <f t="shared" si="12"/>
        <v>100</v>
      </c>
      <c r="T44" s="769" t="s">
        <v>21</v>
      </c>
      <c r="U44" s="770">
        <f t="shared" si="13"/>
        <v>100</v>
      </c>
      <c r="V44" s="769" t="s">
        <v>21</v>
      </c>
      <c r="W44" s="770">
        <f t="shared" si="14"/>
        <v>100</v>
      </c>
      <c r="X44" s="771"/>
      <c r="Y44" s="3219"/>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7"/>
      <c r="Q45" s="2935">
        <f t="shared" si="11"/>
        <v>111</v>
      </c>
      <c r="R45" s="773" t="s">
        <v>21</v>
      </c>
      <c r="S45" s="774">
        <f t="shared" si="12"/>
        <v>100</v>
      </c>
      <c r="T45" s="773" t="s">
        <v>21</v>
      </c>
      <c r="U45" s="774">
        <f t="shared" si="13"/>
        <v>100</v>
      </c>
      <c r="V45" s="773" t="s">
        <v>21</v>
      </c>
      <c r="W45" s="774">
        <f t="shared" si="14"/>
        <v>100</v>
      </c>
      <c r="X45" s="2937"/>
      <c r="Y45" s="3219"/>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8"/>
      <c r="Q46" s="2935">
        <f t="shared" si="11"/>
        <v>111</v>
      </c>
      <c r="R46" s="773" t="s">
        <v>20</v>
      </c>
      <c r="S46" s="774">
        <f t="shared" si="12"/>
        <v>100</v>
      </c>
      <c r="T46" s="773" t="s">
        <v>20</v>
      </c>
      <c r="U46" s="774">
        <f t="shared" si="13"/>
        <v>100</v>
      </c>
      <c r="V46" s="773" t="s">
        <v>20</v>
      </c>
      <c r="W46" s="774">
        <f t="shared" si="14"/>
        <v>100</v>
      </c>
      <c r="X46" s="2937"/>
      <c r="Y46" s="3220"/>
      <c r="Z46" s="2938">
        <f t="shared" si="18"/>
        <v>111</v>
      </c>
      <c r="AA46" s="2936">
        <f t="shared" si="15"/>
        <v>1</v>
      </c>
      <c r="AB46" s="2936">
        <f t="shared" si="16"/>
        <v>1</v>
      </c>
      <c r="AC46" s="2936">
        <f t="shared" si="17"/>
        <v>1</v>
      </c>
    </row>
    <row r="47" spans="1:29" ht="15">
      <c r="A47" s="479" t="s">
        <v>2558</v>
      </c>
      <c r="B47" s="480"/>
      <c r="C47" s="1408" t="s">
        <v>19</v>
      </c>
      <c r="D47" s="1409"/>
      <c r="E47" s="1410"/>
      <c r="F47" s="1411"/>
      <c r="G47" s="1412"/>
      <c r="H47" s="1413"/>
      <c r="I47" s="1410"/>
      <c r="J47" s="1413"/>
      <c r="K47" s="2618"/>
      <c r="L47" s="1144"/>
      <c r="M47" s="1145"/>
      <c r="N47" s="1132"/>
      <c r="O47" s="1145"/>
      <c r="P47" s="3207" t="str">
        <f>A47</f>
        <v>成交单价（元/平方米）</v>
      </c>
      <c r="Q47" s="3207"/>
      <c r="R47" s="3208">
        <f>E47</f>
        <v>0</v>
      </c>
      <c r="S47" s="3208"/>
      <c r="T47" s="3208">
        <f>G47</f>
        <v>0</v>
      </c>
      <c r="U47" s="3208"/>
      <c r="V47" s="3208">
        <f>I47</f>
        <v>0</v>
      </c>
      <c r="W47" s="3208"/>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24"/>
      <c r="F1" s="2581"/>
      <c r="G1" s="1625" t="s">
        <v>2624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2308</v>
      </c>
      <c r="B2" s="1419" t="e">
        <f ca="1">IF(C2="——",IF(B37="元/平方米",ROUND(C39*D3/10000,0),ROUND(F3*C39/10000,0)),IF(B37="元/平方米",ROUND(C39*D3/10000,0),ROUND(F3*C39/10000,0))-D2)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2310</v>
      </c>
      <c r="B3" s="609" t="e">
        <f ca="1">IF(AND(C2="——",B37="元/平方米"),C39,ROUND(B2*10000/D3,0))</f>
        <v>#DIV/0!</v>
      </c>
      <c r="C3" s="400" t="s">
        <v>2625</v>
      </c>
      <c r="D3" s="399">
        <f>SUMIF('数据-汇总表'!$C19:$C33,D1,'数据-汇总表'!$E19:$E33)</f>
        <v>0</v>
      </c>
      <c r="E3" s="400" t="s">
        <v>2689</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8" t="s">
        <v>2530</v>
      </c>
      <c r="Q7" s="3249"/>
      <c r="R7" s="769" t="s">
        <v>17</v>
      </c>
      <c r="S7" s="770">
        <f t="shared" ref="S7:S14" si="0">F7</f>
        <v>0</v>
      </c>
      <c r="T7" s="769" t="s">
        <v>17</v>
      </c>
      <c r="U7" s="770">
        <f t="shared" ref="U7:U14" si="1">H7</f>
        <v>0</v>
      </c>
      <c r="V7" s="769" t="s">
        <v>17</v>
      </c>
      <c r="W7" s="770">
        <f t="shared" ref="W7:W14" si="2">J7</f>
        <v>0</v>
      </c>
      <c r="X7" s="771"/>
      <c r="Y7" s="3248" t="s">
        <v>2530</v>
      </c>
      <c r="Z7" s="3247"/>
      <c r="AA7" s="772" t="e">
        <f>D7/F7</f>
        <v>#DIV/0!</v>
      </c>
      <c r="AB7" s="772" t="e">
        <f>D7/H7</f>
        <v>#DIV/0!</v>
      </c>
      <c r="AC7" s="772" t="e">
        <f>D7/J7</f>
        <v>#DIV/0!</v>
      </c>
    </row>
    <row r="8" spans="1:29" s="117" customFormat="1" ht="15.7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36" si="3">D8/F8</f>
        <v>#DIV/0!</v>
      </c>
      <c r="AB8" s="772" t="e">
        <f t="shared" ref="AB8:AB36" si="4">D8/H8</f>
        <v>#DIV/0!</v>
      </c>
      <c r="AC8" s="772" t="e">
        <f t="shared" ref="AC8:AC36" si="5">D8/J8</f>
        <v>#DIV/0!</v>
      </c>
    </row>
    <row r="9" spans="1:29" s="117" customFormat="1">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7"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7"/>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01" t="s">
        <v>2540</v>
      </c>
      <c r="B14" s="629" t="s">
        <v>2690</v>
      </c>
      <c r="C14" s="2690"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4" t="s">
        <v>2541</v>
      </c>
      <c r="Q14" s="1812" t="str">
        <f t="shared" si="6"/>
        <v>交通便捷度</v>
      </c>
      <c r="R14" s="773" t="s">
        <v>17</v>
      </c>
      <c r="S14" s="774">
        <f t="shared" si="0"/>
        <v>100</v>
      </c>
      <c r="T14" s="773" t="s">
        <v>17</v>
      </c>
      <c r="U14" s="774">
        <f t="shared" si="1"/>
        <v>100</v>
      </c>
      <c r="V14" s="773" t="s">
        <v>17</v>
      </c>
      <c r="W14" s="774">
        <f t="shared" si="2"/>
        <v>100</v>
      </c>
      <c r="X14" s="1815"/>
      <c r="Y14" s="3214" t="s">
        <v>2541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15"/>
      <c r="Q15" s="1812"/>
      <c r="R15" s="773"/>
      <c r="S15" s="774"/>
      <c r="T15" s="773"/>
      <c r="U15" s="774"/>
      <c r="V15" s="773"/>
      <c r="W15" s="774"/>
      <c r="X15" s="1815"/>
      <c r="Y15" s="3215"/>
      <c r="Z15" s="1816"/>
      <c r="AA15" s="1813">
        <v>1</v>
      </c>
      <c r="AB15" s="1813">
        <v>1</v>
      </c>
      <c r="AC15" s="1813">
        <v>1</v>
      </c>
    </row>
    <row r="16" spans="1:29" ht="15">
      <c r="A16" s="404"/>
      <c r="B16" s="631" t="s">
        <v>2669</v>
      </c>
      <c r="C16" s="2604"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15"/>
      <c r="Q17" s="1812"/>
      <c r="R17" s="773"/>
      <c r="S17" s="774"/>
      <c r="T17" s="773"/>
      <c r="U17" s="774"/>
      <c r="V17" s="773"/>
      <c r="W17" s="774"/>
      <c r="X17" s="1815"/>
      <c r="Y17" s="3215"/>
      <c r="Z17" s="1816"/>
      <c r="AA17" s="1813">
        <v>1</v>
      </c>
      <c r="AB17" s="1813">
        <v>1</v>
      </c>
      <c r="AC17" s="1813">
        <v>1</v>
      </c>
    </row>
    <row r="18" spans="1:29" ht="15">
      <c r="A18" s="404"/>
      <c r="B18" s="633" t="s">
        <v>2670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15"/>
      <c r="Q19" s="1812"/>
      <c r="R19" s="773"/>
      <c r="S19" s="774"/>
      <c r="T19" s="773"/>
      <c r="U19" s="774"/>
      <c r="V19" s="773"/>
      <c r="W19" s="774"/>
      <c r="X19" s="1815"/>
      <c r="Y19" s="3215"/>
      <c r="Z19" s="1816"/>
      <c r="AA19" s="1813">
        <v>1</v>
      </c>
      <c r="AB19" s="1813">
        <v>1</v>
      </c>
      <c r="AC19" s="1813">
        <v>1</v>
      </c>
    </row>
    <row r="20" spans="1:29" ht="15">
      <c r="A20" s="404"/>
      <c r="B20" s="631" t="s">
        <v>2691</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15"/>
      <c r="Q21" s="1812"/>
      <c r="R21" s="773"/>
      <c r="S21" s="774"/>
      <c r="T21" s="773"/>
      <c r="U21" s="774"/>
      <c r="V21" s="773"/>
      <c r="W21" s="774"/>
      <c r="X21" s="1815"/>
      <c r="Y21" s="3215"/>
      <c r="Z21" s="1816"/>
      <c r="AA21" s="1813">
        <v>1</v>
      </c>
      <c r="AB21" s="1813">
        <v>1</v>
      </c>
      <c r="AC21" s="1813">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5"/>
      <c r="Q24" s="1812">
        <f t="shared" ref="Q24:Q36"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652" t="s">
        <v>2544</v>
      </c>
      <c r="B26" s="70" t="s">
        <v>2693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9" t="s">
        <v>2546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9" t="s">
        <v>2546</v>
      </c>
      <c r="Z26" s="1816" t="str">
        <f t="shared" ref="Z26:Z36" si="15">Q26</f>
        <v>配套类型</v>
      </c>
      <c r="AA26" s="1813">
        <f t="shared" si="3"/>
        <v>1</v>
      </c>
      <c r="AB26" s="1813">
        <f t="shared" si="4"/>
        <v>1</v>
      </c>
      <c r="AC26" s="1813">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9"/>
      <c r="Q27" s="775" t="str">
        <f t="shared" si="11"/>
        <v>项目停车位配比</v>
      </c>
      <c r="R27" s="776" t="s">
        <v>17</v>
      </c>
      <c r="S27" s="777">
        <f t="shared" si="12"/>
        <v>100</v>
      </c>
      <c r="T27" s="776" t="s">
        <v>17</v>
      </c>
      <c r="U27" s="777">
        <f t="shared" si="13"/>
        <v>100</v>
      </c>
      <c r="V27" s="776" t="s">
        <v>17</v>
      </c>
      <c r="W27" s="777">
        <f t="shared" si="14"/>
        <v>100</v>
      </c>
      <c r="X27" s="778"/>
      <c r="Y27" s="3219"/>
      <c r="Z27" s="779" t="str">
        <f t="shared" si="15"/>
        <v>项目停车位配比</v>
      </c>
      <c r="AA27" s="1813">
        <f t="shared" si="3"/>
        <v>1</v>
      </c>
      <c r="AB27" s="1813">
        <f t="shared" si="4"/>
        <v>1</v>
      </c>
      <c r="AC27" s="1813">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9"/>
      <c r="Q28" s="1812" t="str">
        <f t="shared" si="11"/>
        <v>公共部分装修</v>
      </c>
      <c r="R28" s="773" t="s">
        <v>17</v>
      </c>
      <c r="S28" s="774">
        <f t="shared" si="12"/>
        <v>100</v>
      </c>
      <c r="T28" s="773" t="s">
        <v>17</v>
      </c>
      <c r="U28" s="774">
        <f t="shared" si="13"/>
        <v>100</v>
      </c>
      <c r="V28" s="773" t="s">
        <v>17</v>
      </c>
      <c r="W28" s="774">
        <f t="shared" si="14"/>
        <v>100</v>
      </c>
      <c r="X28" s="1815"/>
      <c r="Y28" s="3219"/>
      <c r="Z28" s="1816" t="str">
        <f t="shared" si="15"/>
        <v>公共部分装修</v>
      </c>
      <c r="AA28" s="1813">
        <f t="shared" si="3"/>
        <v>1</v>
      </c>
      <c r="AB28" s="1813">
        <f t="shared" si="4"/>
        <v>1</v>
      </c>
      <c r="AC28" s="1813">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9"/>
      <c r="Q29" s="1812" t="str">
        <f t="shared" si="11"/>
        <v>成新率</v>
      </c>
      <c r="R29" s="773" t="s">
        <v>17</v>
      </c>
      <c r="S29" s="774" t="e">
        <f t="shared" si="12"/>
        <v>#N/A</v>
      </c>
      <c r="T29" s="773" t="s">
        <v>17</v>
      </c>
      <c r="U29" s="774" t="e">
        <f t="shared" si="13"/>
        <v>#N/A</v>
      </c>
      <c r="V29" s="773" t="s">
        <v>17</v>
      </c>
      <c r="W29" s="774" t="e">
        <f t="shared" si="14"/>
        <v>#N/A</v>
      </c>
      <c r="X29" s="1815"/>
      <c r="Y29" s="3219"/>
      <c r="Z29" s="1816" t="str">
        <f t="shared" si="15"/>
        <v>成新率</v>
      </c>
      <c r="AA29" s="1813" t="e">
        <f t="shared" si="3"/>
        <v>#N/A</v>
      </c>
      <c r="AB29" s="1813" t="e">
        <f t="shared" si="4"/>
        <v>#N/A</v>
      </c>
      <c r="AC29" s="1813"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9"/>
      <c r="Q30" s="1812" t="str">
        <f t="shared" si="11"/>
        <v>物业等级</v>
      </c>
      <c r="R30" s="773" t="s">
        <v>17</v>
      </c>
      <c r="S30" s="774">
        <f t="shared" si="12"/>
        <v>100</v>
      </c>
      <c r="T30" s="773" t="s">
        <v>17</v>
      </c>
      <c r="U30" s="774">
        <f t="shared" si="13"/>
        <v>100</v>
      </c>
      <c r="V30" s="773" t="s">
        <v>17</v>
      </c>
      <c r="W30" s="774">
        <f t="shared" si="14"/>
        <v>100</v>
      </c>
      <c r="X30" s="1815"/>
      <c r="Y30" s="3219"/>
      <c r="Z30" s="1816" t="str">
        <f t="shared" si="15"/>
        <v>物业等级</v>
      </c>
      <c r="AA30" s="1813">
        <f t="shared" si="3"/>
        <v>1</v>
      </c>
      <c r="AB30" s="1813">
        <f t="shared" si="4"/>
        <v>1</v>
      </c>
      <c r="AC30" s="1813">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9"/>
      <c r="Q31" s="1797" t="str">
        <f t="shared" si="11"/>
        <v>停车位面积</v>
      </c>
      <c r="R31" s="769" t="s">
        <v>17</v>
      </c>
      <c r="S31" s="770" t="e">
        <f t="shared" si="12"/>
        <v>#N/A</v>
      </c>
      <c r="T31" s="769" t="s">
        <v>17</v>
      </c>
      <c r="U31" s="770" t="e">
        <f t="shared" si="13"/>
        <v>#N/A</v>
      </c>
      <c r="V31" s="769" t="s">
        <v>17</v>
      </c>
      <c r="W31" s="770" t="e">
        <f t="shared" si="14"/>
        <v>#N/A</v>
      </c>
      <c r="X31" s="771"/>
      <c r="Y31" s="3219"/>
      <c r="Z31" s="55" t="str">
        <f t="shared" si="15"/>
        <v>停车位面积</v>
      </c>
      <c r="AA31" s="772" t="e">
        <f t="shared" si="3"/>
        <v>#N/A</v>
      </c>
      <c r="AB31" s="772" t="e">
        <f t="shared" si="4"/>
        <v>#N/A</v>
      </c>
      <c r="AC31" s="772"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9" t="s">
        <v>2546</v>
      </c>
      <c r="Q32" s="1812" t="str">
        <f t="shared" si="11"/>
        <v>车位类型</v>
      </c>
      <c r="R32" s="773" t="s">
        <v>17</v>
      </c>
      <c r="S32" s="774">
        <f t="shared" si="12"/>
        <v>100</v>
      </c>
      <c r="T32" s="773" t="s">
        <v>17</v>
      </c>
      <c r="U32" s="774">
        <f t="shared" si="13"/>
        <v>100</v>
      </c>
      <c r="V32" s="773" t="s">
        <v>17</v>
      </c>
      <c r="W32" s="774">
        <f t="shared" si="14"/>
        <v>100</v>
      </c>
      <c r="X32" s="1815"/>
      <c r="Y32" s="3219" t="s">
        <v>2546</v>
      </c>
      <c r="Z32" s="1816" t="str">
        <f t="shared" si="15"/>
        <v>车位类型</v>
      </c>
      <c r="AA32" s="1813">
        <f t="shared" si="3"/>
        <v>1</v>
      </c>
      <c r="AB32" s="1813">
        <f t="shared" si="4"/>
        <v>1</v>
      </c>
      <c r="AC32" s="1813">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9"/>
      <c r="Q33" s="1812" t="str">
        <f t="shared" si="11"/>
        <v>是否直接入户</v>
      </c>
      <c r="R33" s="773" t="s">
        <v>17</v>
      </c>
      <c r="S33" s="774">
        <f t="shared" si="12"/>
        <v>100</v>
      </c>
      <c r="T33" s="773" t="s">
        <v>17</v>
      </c>
      <c r="U33" s="774">
        <f t="shared" si="13"/>
        <v>100</v>
      </c>
      <c r="V33" s="773" t="s">
        <v>17</v>
      </c>
      <c r="W33" s="774">
        <f t="shared" si="14"/>
        <v>100</v>
      </c>
      <c r="X33" s="1815"/>
      <c r="Y33" s="321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9"/>
      <c r="Q35" s="775">
        <f t="shared" si="11"/>
        <v>111</v>
      </c>
      <c r="R35" s="776" t="s">
        <v>17</v>
      </c>
      <c r="S35" s="777">
        <f t="shared" si="12"/>
        <v>100</v>
      </c>
      <c r="T35" s="776" t="s">
        <v>17</v>
      </c>
      <c r="U35" s="777">
        <f t="shared" si="13"/>
        <v>100</v>
      </c>
      <c r="V35" s="776" t="s">
        <v>17</v>
      </c>
      <c r="W35" s="777">
        <f t="shared" si="14"/>
        <v>100</v>
      </c>
      <c r="X35" s="778"/>
      <c r="Y35" s="3219"/>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9"/>
      <c r="Q36" s="1812">
        <f t="shared" si="11"/>
        <v>111</v>
      </c>
      <c r="R36" s="773" t="s">
        <v>17</v>
      </c>
      <c r="S36" s="774">
        <f t="shared" si="12"/>
        <v>100</v>
      </c>
      <c r="T36" s="773" t="s">
        <v>17</v>
      </c>
      <c r="U36" s="774">
        <f t="shared" si="13"/>
        <v>100</v>
      </c>
      <c r="V36" s="773" t="s">
        <v>17</v>
      </c>
      <c r="W36" s="774">
        <f t="shared" si="14"/>
        <v>100</v>
      </c>
      <c r="X36" s="1815"/>
      <c r="Y36" s="3219"/>
      <c r="Z36" s="1816">
        <f t="shared" si="15"/>
        <v>111</v>
      </c>
      <c r="AA36" s="1813">
        <f t="shared" si="3"/>
        <v>1</v>
      </c>
      <c r="AB36" s="1813">
        <f t="shared" si="4"/>
        <v>1</v>
      </c>
      <c r="AC36" s="1813">
        <f t="shared" si="5"/>
        <v>1</v>
      </c>
    </row>
    <row r="37" spans="1:29" ht="15">
      <c r="A37" s="479" t="s">
        <v>2701</v>
      </c>
      <c r="B37" s="2692" t="s">
        <v>2702</v>
      </c>
      <c r="C37" s="1408" t="s">
        <v>1</v>
      </c>
      <c r="D37" s="1409"/>
      <c r="E37" s="1410">
        <v>7000</v>
      </c>
      <c r="F37" s="1411"/>
      <c r="G37" s="1412">
        <v>7000</v>
      </c>
      <c r="H37" s="1413"/>
      <c r="I37" s="1410">
        <v>7000</v>
      </c>
      <c r="J37" s="1413"/>
      <c r="K37" s="619"/>
      <c r="L37" s="1144"/>
      <c r="M37" s="1145"/>
      <c r="N37" s="1132"/>
      <c r="O37" s="1145"/>
      <c r="P37" s="3207" t="str">
        <f>A37</f>
        <v>成交单价</v>
      </c>
      <c r="Q37" s="3207"/>
      <c r="R37" s="3208">
        <f>E37</f>
        <v>7000</v>
      </c>
      <c r="S37" s="3208"/>
      <c r="T37" s="3208">
        <f>G37</f>
        <v>7000</v>
      </c>
      <c r="U37" s="3208"/>
      <c r="V37" s="3208">
        <f>I37</f>
        <v>7000</v>
      </c>
      <c r="W37" s="3208"/>
      <c r="X37" s="758"/>
      <c r="Y37" s="780"/>
      <c r="Z37" s="758"/>
      <c r="AA37" s="758"/>
      <c r="AB37" s="758"/>
      <c r="AC37" s="758"/>
    </row>
    <row r="38" spans="1:29" ht="15.75" thickBot="1">
      <c r="A38" s="486" t="s">
        <v>2703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8"/>
      <c r="Y38" s="758"/>
      <c r="Z38" s="758"/>
      <c r="AA38" s="758"/>
      <c r="AB38" s="758"/>
      <c r="AC38" s="758"/>
    </row>
    <row r="39" spans="1:29" ht="15.75" thickBot="1">
      <c r="A39" s="492" t="s">
        <v>2704</v>
      </c>
      <c r="B39" s="493"/>
      <c r="C39" s="1418" t="e">
        <f>R39</f>
        <v>#DIV/0!</v>
      </c>
      <c r="D39" s="1418"/>
      <c r="E39" s="1418"/>
      <c r="F39" s="1418"/>
      <c r="G39" s="1418"/>
      <c r="H39" s="1418"/>
      <c r="I39" s="1418"/>
      <c r="J39" s="1418"/>
      <c r="K39" s="621"/>
      <c r="L39" s="1144"/>
      <c r="M39" s="1145"/>
      <c r="N39" s="1145"/>
      <c r="O39" s="1145"/>
      <c r="P39" s="3267" t="str">
        <f>A39</f>
        <v>估价对象XX用房的比较价值（楼面单价，元/平方米）</v>
      </c>
      <c r="Q39" s="3268"/>
      <c r="R39" s="3269" t="e">
        <f>IF(F1="售价",ROUND(AVERAGE(R38:V38),0),ROUND(AVERAGE(R38:V38),1))</f>
        <v>#DIV/0!</v>
      </c>
      <c r="S39" s="3269"/>
      <c r="T39" s="3269"/>
      <c r="U39" s="3269"/>
      <c r="V39" s="3269"/>
      <c r="W39" s="3269"/>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2707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2709</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2566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2531</v>
      </c>
      <c r="B51" s="510"/>
      <c r="C51" s="522" t="s">
        <v>2633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2569</v>
      </c>
      <c r="B53" s="528" t="s">
        <v>2535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2538</v>
      </c>
      <c r="C55" s="539" t="s">
        <v>2570</v>
      </c>
      <c r="D55" s="539" t="s">
        <v>2571</v>
      </c>
      <c r="E55" s="539" t="s">
        <v>2572</v>
      </c>
      <c r="F55" s="539" t="s">
        <v>2573</v>
      </c>
      <c r="G55" s="539" t="s">
        <v>2574</v>
      </c>
      <c r="H55" s="539" t="s">
        <v>2575</v>
      </c>
      <c r="I55" s="539" t="s">
        <v>2576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2584</v>
      </c>
      <c r="C65" s="578" t="s">
        <v>2578</v>
      </c>
      <c r="D65" s="578" t="s">
        <v>2579</v>
      </c>
      <c r="E65" s="578" t="s">
        <v>2580</v>
      </c>
      <c r="F65" s="578" t="s">
        <v>2581</v>
      </c>
      <c r="G65" s="578" t="s">
        <v>2582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2670</v>
      </c>
      <c r="C67" s="660" t="s">
        <v>2656</v>
      </c>
      <c r="D67" s="660" t="s">
        <v>2657</v>
      </c>
      <c r="E67" s="660" t="s">
        <v>2658</v>
      </c>
      <c r="F67" s="660" t="s">
        <v>2659</v>
      </c>
      <c r="G67" s="660" t="s">
        <v>2660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2590</v>
      </c>
      <c r="C69" s="578" t="s">
        <v>2578</v>
      </c>
      <c r="D69" s="578" t="s">
        <v>2579</v>
      </c>
      <c r="E69" s="578" t="s">
        <v>2580</v>
      </c>
      <c r="F69" s="578" t="s">
        <v>2581</v>
      </c>
      <c r="G69" s="578" t="s">
        <v>2582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2544</v>
      </c>
      <c r="B79" s="528" t="s">
        <v>2711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2597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2716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2717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IF(C2="——",ROUND(C37*D3/10000,0),ROUND(C37*D3/10000,0)-D2)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 ca="1">IF(C2="——",C37,ROUND(B2*10000/D3,0))</f>
        <v>#DIV/0!</v>
      </c>
      <c r="C3" s="400" t="s">
        <v>2625</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48" t="s">
        <v>2530</v>
      </c>
      <c r="Q7" s="3249"/>
      <c r="R7" s="769" t="s">
        <v>17</v>
      </c>
      <c r="S7" s="770">
        <f t="shared" ref="S7:S14" si="0">F7</f>
        <v>0</v>
      </c>
      <c r="T7" s="769" t="s">
        <v>17</v>
      </c>
      <c r="U7" s="770">
        <f t="shared" ref="U7:U14" si="1">H7</f>
        <v>0</v>
      </c>
      <c r="V7" s="769" t="s">
        <v>17</v>
      </c>
      <c r="W7" s="770">
        <f t="shared" ref="W7:W14" si="2">J7</f>
        <v>0</v>
      </c>
      <c r="X7" s="771"/>
      <c r="Y7" s="3248" t="s">
        <v>2530</v>
      </c>
      <c r="Z7" s="3247"/>
      <c r="AA7" s="772" t="e">
        <f>D7/F7</f>
        <v>#DIV/0!</v>
      </c>
      <c r="AB7" s="772" t="e">
        <f>D7/H7</f>
        <v>#DIV/0!</v>
      </c>
      <c r="AC7" s="772" t="e">
        <f>D7/J7</f>
        <v>#DIV/0!</v>
      </c>
    </row>
    <row r="8" spans="1:29" s="117" customFormat="1" ht="15.7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34" si="3">D8/F8</f>
        <v>#DIV/0!</v>
      </c>
      <c r="AB8" s="772" t="e">
        <f t="shared" ref="AB8:AB34" si="4">D8/H8</f>
        <v>#DIV/0!</v>
      </c>
      <c r="AC8" s="772" t="e">
        <f t="shared" ref="AC8:AC34" si="5">D8/J8</f>
        <v>#DIV/0!</v>
      </c>
    </row>
    <row r="9" spans="1:29" s="117" customFormat="1">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7"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7"/>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40" t="s">
        <v>2540</v>
      </c>
      <c r="B14" s="69" t="s">
        <v>2690</v>
      </c>
      <c r="C14" s="2690"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4" t="s">
        <v>2541</v>
      </c>
      <c r="Q14" s="1812" t="str">
        <f t="shared" si="6"/>
        <v>交通便捷度</v>
      </c>
      <c r="R14" s="773" t="s">
        <v>17</v>
      </c>
      <c r="S14" s="774">
        <f t="shared" si="0"/>
        <v>100</v>
      </c>
      <c r="T14" s="773" t="s">
        <v>17</v>
      </c>
      <c r="U14" s="774">
        <f t="shared" si="1"/>
        <v>100</v>
      </c>
      <c r="V14" s="773" t="s">
        <v>17</v>
      </c>
      <c r="W14" s="774">
        <f t="shared" si="2"/>
        <v>100</v>
      </c>
      <c r="X14" s="1815"/>
      <c r="Y14" s="3214" t="s">
        <v>2541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15"/>
      <c r="Q15" s="1812"/>
      <c r="R15" s="773"/>
      <c r="S15" s="774"/>
      <c r="T15" s="773"/>
      <c r="U15" s="774"/>
      <c r="V15" s="773"/>
      <c r="W15" s="774"/>
      <c r="X15" s="1815"/>
      <c r="Y15" s="3215"/>
      <c r="Z15" s="1816"/>
      <c r="AA15" s="1813">
        <v>1</v>
      </c>
      <c r="AB15" s="1813">
        <v>1</v>
      </c>
      <c r="AC15" s="1813">
        <v>1</v>
      </c>
    </row>
    <row r="16" spans="1:29" ht="15">
      <c r="A16" s="428"/>
      <c r="B16" s="451" t="s">
        <v>2669</v>
      </c>
      <c r="C16" s="2604"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15"/>
      <c r="Q17" s="1812"/>
      <c r="R17" s="773"/>
      <c r="S17" s="774"/>
      <c r="T17" s="773"/>
      <c r="U17" s="774"/>
      <c r="V17" s="773"/>
      <c r="W17" s="774"/>
      <c r="X17" s="1815"/>
      <c r="Y17" s="3215"/>
      <c r="Z17" s="1816"/>
      <c r="AA17" s="1813">
        <v>1</v>
      </c>
      <c r="AB17" s="1813">
        <v>1</v>
      </c>
      <c r="AC17" s="1813">
        <v>1</v>
      </c>
    </row>
    <row r="18" spans="1:29" ht="15">
      <c r="A18" s="428"/>
      <c r="B18" s="1385" t="s">
        <v>2670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15"/>
      <c r="Q19" s="1812"/>
      <c r="R19" s="773"/>
      <c r="S19" s="774"/>
      <c r="T19" s="773"/>
      <c r="U19" s="774"/>
      <c r="V19" s="773"/>
      <c r="W19" s="774"/>
      <c r="X19" s="1815"/>
      <c r="Y19" s="3215"/>
      <c r="Z19" s="1816"/>
      <c r="AA19" s="1813">
        <v>1</v>
      </c>
      <c r="AB19" s="1813">
        <v>1</v>
      </c>
      <c r="AC19" s="1813">
        <v>1</v>
      </c>
    </row>
    <row r="20" spans="1:29" ht="15">
      <c r="A20" s="428"/>
      <c r="B20" s="451" t="s">
        <v>2691</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15"/>
      <c r="Q21" s="1812"/>
      <c r="R21" s="773"/>
      <c r="S21" s="774"/>
      <c r="T21" s="773"/>
      <c r="U21" s="774"/>
      <c r="V21" s="773"/>
      <c r="W21" s="774"/>
      <c r="X21" s="1815"/>
      <c r="Y21" s="3215"/>
      <c r="Z21" s="1816"/>
      <c r="AA21" s="1813">
        <v>1</v>
      </c>
      <c r="AB21" s="1813">
        <v>1</v>
      </c>
      <c r="AC21" s="1813">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5"/>
      <c r="Q24" s="1812">
        <f t="shared" ref="Q24:Q34"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466" t="s">
        <v>2544</v>
      </c>
      <c r="B26" s="71" t="s">
        <v>2695</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09" t="s">
        <v>2546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9" t="s">
        <v>2546</v>
      </c>
      <c r="Z26" s="1816" t="str">
        <f t="shared" ref="Z26:Z34" si="15">Q26</f>
        <v>公共部分装修</v>
      </c>
      <c r="AA26" s="1813">
        <f t="shared" si="3"/>
        <v>1</v>
      </c>
      <c r="AB26" s="1813">
        <f t="shared" si="4"/>
        <v>1</v>
      </c>
      <c r="AC26" s="1813">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9"/>
      <c r="Q27" s="775" t="str">
        <f t="shared" si="11"/>
        <v>成新率</v>
      </c>
      <c r="R27" s="776" t="s">
        <v>17</v>
      </c>
      <c r="S27" s="777" t="e">
        <f t="shared" si="12"/>
        <v>#N/A</v>
      </c>
      <c r="T27" s="776" t="s">
        <v>17</v>
      </c>
      <c r="U27" s="777" t="e">
        <f t="shared" si="13"/>
        <v>#N/A</v>
      </c>
      <c r="V27" s="776" t="s">
        <v>17</v>
      </c>
      <c r="W27" s="777" t="e">
        <f t="shared" si="14"/>
        <v>#N/A</v>
      </c>
      <c r="X27" s="778"/>
      <c r="Y27" s="3219"/>
      <c r="Z27" s="779" t="str">
        <f t="shared" si="15"/>
        <v>成新率</v>
      </c>
      <c r="AA27" s="1813" t="e">
        <f t="shared" si="3"/>
        <v>#N/A</v>
      </c>
      <c r="AB27" s="1813" t="e">
        <f t="shared" si="4"/>
        <v>#N/A</v>
      </c>
      <c r="AC27" s="1813"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9"/>
      <c r="Q28" s="1812" t="str">
        <f t="shared" si="11"/>
        <v>物业等级</v>
      </c>
      <c r="R28" s="773" t="s">
        <v>17</v>
      </c>
      <c r="S28" s="774">
        <f t="shared" si="12"/>
        <v>100</v>
      </c>
      <c r="T28" s="773" t="s">
        <v>17</v>
      </c>
      <c r="U28" s="774">
        <f t="shared" si="13"/>
        <v>100</v>
      </c>
      <c r="V28" s="773" t="s">
        <v>17</v>
      </c>
      <c r="W28" s="774">
        <f t="shared" si="14"/>
        <v>100</v>
      </c>
      <c r="X28" s="1815"/>
      <c r="Y28" s="3219"/>
      <c r="Z28" s="1816" t="str">
        <f t="shared" si="15"/>
        <v>物业等级</v>
      </c>
      <c r="AA28" s="1813">
        <f t="shared" si="3"/>
        <v>1</v>
      </c>
      <c r="AB28" s="1813">
        <f t="shared" si="4"/>
        <v>1</v>
      </c>
      <c r="AC28" s="1813">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9"/>
      <c r="Q29" s="1812" t="str">
        <f t="shared" si="11"/>
        <v>有无电梯</v>
      </c>
      <c r="R29" s="773" t="s">
        <v>17</v>
      </c>
      <c r="S29" s="774">
        <f t="shared" si="12"/>
        <v>100</v>
      </c>
      <c r="T29" s="773" t="s">
        <v>17</v>
      </c>
      <c r="U29" s="774">
        <f t="shared" si="13"/>
        <v>100</v>
      </c>
      <c r="V29" s="773" t="s">
        <v>17</v>
      </c>
      <c r="W29" s="774">
        <f t="shared" si="14"/>
        <v>100</v>
      </c>
      <c r="X29" s="1815"/>
      <c r="Y29" s="3219"/>
      <c r="Z29" s="1816" t="str">
        <f t="shared" si="15"/>
        <v>有无电梯</v>
      </c>
      <c r="AA29" s="1813">
        <f t="shared" si="3"/>
        <v>1</v>
      </c>
      <c r="AB29" s="1813">
        <f t="shared" si="4"/>
        <v>1</v>
      </c>
      <c r="AC29" s="1813">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9"/>
      <c r="Q30" s="1812" t="str">
        <f t="shared" si="11"/>
        <v>建筑面积</v>
      </c>
      <c r="R30" s="773" t="s">
        <v>17</v>
      </c>
      <c r="S30" s="774" t="e">
        <f t="shared" si="12"/>
        <v>#N/A</v>
      </c>
      <c r="T30" s="773" t="s">
        <v>17</v>
      </c>
      <c r="U30" s="774" t="e">
        <f t="shared" si="13"/>
        <v>#N/A</v>
      </c>
      <c r="V30" s="773" t="s">
        <v>17</v>
      </c>
      <c r="W30" s="774" t="e">
        <f t="shared" si="14"/>
        <v>#N/A</v>
      </c>
      <c r="X30" s="1815"/>
      <c r="Y30" s="3219"/>
      <c r="Z30" s="1816" t="str">
        <f t="shared" si="15"/>
        <v>建筑面积</v>
      </c>
      <c r="AA30" s="1813" t="e">
        <f t="shared" si="3"/>
        <v>#N/A</v>
      </c>
      <c r="AB30" s="1813" t="e">
        <f t="shared" si="4"/>
        <v>#N/A</v>
      </c>
      <c r="AC30" s="1813"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9"/>
      <c r="Q31" s="1797" t="str">
        <f t="shared" si="11"/>
        <v>是否封闭</v>
      </c>
      <c r="R31" s="769" t="s">
        <v>17</v>
      </c>
      <c r="S31" s="770">
        <f t="shared" si="12"/>
        <v>100</v>
      </c>
      <c r="T31" s="769" t="s">
        <v>17</v>
      </c>
      <c r="U31" s="770">
        <f t="shared" si="13"/>
        <v>100</v>
      </c>
      <c r="V31" s="769" t="s">
        <v>17</v>
      </c>
      <c r="W31" s="770">
        <f t="shared" si="14"/>
        <v>100</v>
      </c>
      <c r="X31" s="771"/>
      <c r="Y31" s="3219"/>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9" t="s">
        <v>2546</v>
      </c>
      <c r="Q32" s="1812">
        <f t="shared" si="11"/>
        <v>111</v>
      </c>
      <c r="R32" s="773" t="s">
        <v>17</v>
      </c>
      <c r="S32" s="774">
        <f t="shared" si="12"/>
        <v>100</v>
      </c>
      <c r="T32" s="773" t="s">
        <v>17</v>
      </c>
      <c r="U32" s="774">
        <f t="shared" si="13"/>
        <v>100</v>
      </c>
      <c r="V32" s="773" t="s">
        <v>17</v>
      </c>
      <c r="W32" s="774">
        <f t="shared" si="14"/>
        <v>100</v>
      </c>
      <c r="X32" s="1815"/>
      <c r="Y32" s="3219" t="s">
        <v>2546</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9"/>
      <c r="Q33" s="1812">
        <f t="shared" si="11"/>
        <v>111</v>
      </c>
      <c r="R33" s="773" t="s">
        <v>17</v>
      </c>
      <c r="S33" s="774">
        <f t="shared" si="12"/>
        <v>100</v>
      </c>
      <c r="T33" s="773" t="s">
        <v>17</v>
      </c>
      <c r="U33" s="774">
        <f t="shared" si="13"/>
        <v>100</v>
      </c>
      <c r="V33" s="773" t="s">
        <v>17</v>
      </c>
      <c r="W33" s="774">
        <f t="shared" si="14"/>
        <v>100</v>
      </c>
      <c r="X33" s="1815"/>
      <c r="Y33" s="3219"/>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ht="15">
      <c r="A35" s="479" t="s">
        <v>2558</v>
      </c>
      <c r="B35" s="480"/>
      <c r="C35" s="1408" t="s">
        <v>1</v>
      </c>
      <c r="D35" s="1409"/>
      <c r="E35" s="1410"/>
      <c r="F35" s="1411"/>
      <c r="G35" s="1412"/>
      <c r="H35" s="1413"/>
      <c r="I35" s="1410"/>
      <c r="J35" s="1413"/>
      <c r="K35" s="782"/>
      <c r="L35" s="1144"/>
      <c r="M35" s="1145"/>
      <c r="N35" s="1132"/>
      <c r="O35" s="1145"/>
      <c r="P35" s="3207" t="str">
        <f>A35</f>
        <v>成交单价（元/平方米）</v>
      </c>
      <c r="Q35" s="3207"/>
      <c r="R35" s="3208">
        <f>E35</f>
        <v>0</v>
      </c>
      <c r="S35" s="3208"/>
      <c r="T35" s="3208">
        <f>G35</f>
        <v>0</v>
      </c>
      <c r="U35" s="3208"/>
      <c r="V35" s="3208">
        <f>I35</f>
        <v>0</v>
      </c>
      <c r="W35" s="3208"/>
      <c r="X35" s="758"/>
      <c r="Y35" s="780"/>
      <c r="Z35" s="758"/>
      <c r="AA35" s="758"/>
      <c r="AB35" s="758"/>
      <c r="AC35" s="758"/>
    </row>
    <row r="36" spans="1:29" ht="15.75" thickBot="1">
      <c r="A36" s="486" t="s">
        <v>2650</v>
      </c>
      <c r="B36" s="487"/>
      <c r="C36" s="1414" t="e">
        <f>R37</f>
        <v>#DIV/0!</v>
      </c>
      <c r="D36" s="1415"/>
      <c r="E36" s="1416" t="e">
        <f>R36</f>
        <v>#DIV/0!</v>
      </c>
      <c r="F36" s="1416"/>
      <c r="G36" s="1414" t="e">
        <f>T36</f>
        <v>#DIV/0!</v>
      </c>
      <c r="H36" s="1415"/>
      <c r="I36" s="1416" t="e">
        <f>V36</f>
        <v>#DIV/0!</v>
      </c>
      <c r="J36" s="1415"/>
      <c r="K36" s="783"/>
      <c r="L36" s="1144"/>
      <c r="M36" s="1145"/>
      <c r="N36" s="1132"/>
      <c r="O36" s="1145"/>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8"/>
      <c r="Y36" s="758"/>
      <c r="Z36" s="758"/>
      <c r="AA36" s="758"/>
      <c r="AB36" s="758"/>
      <c r="AC36" s="758"/>
    </row>
    <row r="37" spans="1:29" ht="15.75" thickBot="1">
      <c r="A37" s="492" t="s">
        <v>2651</v>
      </c>
      <c r="B37" s="493"/>
      <c r="C37" s="1418" t="e">
        <f>R37</f>
        <v>#DIV/0!</v>
      </c>
      <c r="D37" s="1418"/>
      <c r="E37" s="1418"/>
      <c r="F37" s="1418"/>
      <c r="G37" s="1418"/>
      <c r="H37" s="1418"/>
      <c r="I37" s="1418"/>
      <c r="J37" s="1418"/>
      <c r="K37" s="784"/>
      <c r="L37" s="1144"/>
      <c r="M37" s="1145"/>
      <c r="N37" s="1145"/>
      <c r="O37" s="1145"/>
      <c r="P37" s="3267" t="str">
        <f>A37</f>
        <v>估价对象XX用房的比较价值（楼面单价，元/平方米）</v>
      </c>
      <c r="Q37" s="3268"/>
      <c r="R37" s="3269" t="e">
        <f>IF(F1="售价",ROUND(AVERAGE(R36:V36),0),ROUND(AVERAGE(R36:V36),1))</f>
        <v>#DIV/0!</v>
      </c>
      <c r="S37" s="3269"/>
      <c r="T37" s="3269"/>
      <c r="U37" s="3269"/>
      <c r="V37" s="3269"/>
      <c r="W37" s="3269"/>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2655</v>
      </c>
      <c r="B45" s="758"/>
      <c r="C45" s="763"/>
      <c r="D45" s="763"/>
      <c r="E45" s="763"/>
      <c r="F45" s="764"/>
      <c r="G45" s="764"/>
      <c r="H45" s="763"/>
      <c r="I45" s="763"/>
      <c r="J45" s="763"/>
      <c r="K45" s="765"/>
      <c r="L45" s="766"/>
      <c r="M45" s="763"/>
      <c r="N45" s="763"/>
      <c r="O45" s="763"/>
      <c r="P45" s="503"/>
      <c r="Q45" s="504"/>
    </row>
    <row r="46" spans="1:29" s="508" customFormat="1" ht="15">
      <c r="A46" s="505" t="s">
        <v>2529</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2569</v>
      </c>
      <c r="B51" s="528" t="s">
        <v>2535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2538</v>
      </c>
      <c r="C53" s="539" t="s">
        <v>2570</v>
      </c>
      <c r="D53" s="539" t="s">
        <v>2571</v>
      </c>
      <c r="E53" s="539" t="s">
        <v>2572</v>
      </c>
      <c r="F53" s="539" t="s">
        <v>2573</v>
      </c>
      <c r="G53" s="539" t="s">
        <v>2574</v>
      </c>
      <c r="H53" s="539" t="s">
        <v>2575</v>
      </c>
      <c r="I53" s="539" t="s">
        <v>2576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2721</v>
      </c>
      <c r="C63" s="578" t="s">
        <v>2578</v>
      </c>
      <c r="D63" s="578" t="s">
        <v>2579</v>
      </c>
      <c r="E63" s="578" t="s">
        <v>2580</v>
      </c>
      <c r="F63" s="578" t="s">
        <v>2581</v>
      </c>
      <c r="G63" s="578" t="s">
        <v>2582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2670</v>
      </c>
      <c r="C65" s="660" t="s">
        <v>2656</v>
      </c>
      <c r="D65" s="660" t="s">
        <v>2657</v>
      </c>
      <c r="E65" s="660" t="s">
        <v>2658</v>
      </c>
      <c r="F65" s="660" t="s">
        <v>2659</v>
      </c>
      <c r="G65" s="660" t="s">
        <v>2660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2590</v>
      </c>
      <c r="C67" s="578" t="s">
        <v>2578</v>
      </c>
      <c r="D67" s="578" t="s">
        <v>2579</v>
      </c>
      <c r="E67" s="578" t="s">
        <v>2580</v>
      </c>
      <c r="F67" s="578" t="s">
        <v>2581</v>
      </c>
      <c r="G67" s="578" t="s">
        <v>2582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2544</v>
      </c>
      <c r="B77" s="528" t="s">
        <v>2597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估价结果一览表（市场价值不需“结果表-1”）</v>
      </c>
      <c r="B3" s="3022"/>
      <c r="C3" s="3022"/>
      <c r="D3" s="3022"/>
      <c r="E3" s="3022"/>
    </row>
    <row r="4" spans="1:5" ht="19.5" thickBot="1">
      <c r="A4" s="1963"/>
      <c r="B4" s="3020" t="s">
        <v>1628</v>
      </c>
      <c r="C4" s="3020"/>
      <c r="D4" s="3020"/>
      <c r="E4" s="1963"/>
    </row>
    <row r="5" spans="1:5" ht="16.5" thickTop="1">
      <c r="A5" s="1961"/>
      <c r="B5" s="3018" t="s">
        <v>1620</v>
      </c>
      <c r="C5" s="1964" t="s">
        <v>1621</v>
      </c>
      <c r="D5" s="1041" t="e">
        <f ca="1">'结果表（商业）'!H101</f>
        <v>#N/A</v>
      </c>
      <c r="E5" s="1961"/>
    </row>
    <row r="6" spans="1:5" ht="15.75">
      <c r="A6" s="1961"/>
      <c r="B6" s="3018"/>
      <c r="C6" s="1964" t="s">
        <v>1622</v>
      </c>
      <c r="D6" s="1041" t="e">
        <f ca="1">NUMBERSTRING(INT(D5*10000),2)&amp;"元整"</f>
        <v>#N/A</v>
      </c>
      <c r="E6" s="1961"/>
    </row>
    <row r="7" spans="1:5" ht="15.75">
      <c r="A7" s="1961"/>
      <c r="B7" s="3023"/>
      <c r="C7" s="1965" t="s">
        <v>1623</v>
      </c>
      <c r="D7" s="1042" t="e">
        <f ca="1">'结果表（商业）'!H102</f>
        <v>#N/A</v>
      </c>
      <c r="E7" s="1961"/>
    </row>
    <row r="8" spans="1:5" ht="15.75">
      <c r="A8" s="1961"/>
      <c r="B8" s="3024" t="str">
        <f>'结果表（商业）'!E103</f>
        <v>2.估价师知悉的法定优先受偿款</v>
      </c>
      <c r="C8" s="1966" t="s">
        <v>1624</v>
      </c>
      <c r="D8" s="1042">
        <f>'结果表（商业）'!H103</f>
        <v>0</v>
      </c>
      <c r="E8" s="1961"/>
    </row>
    <row r="9" spans="1:5" ht="15.75">
      <c r="A9" s="1961"/>
      <c r="B9" s="3026"/>
      <c r="C9" s="1964" t="s">
        <v>1622</v>
      </c>
      <c r="D9" s="1041" t="str">
        <f>NUMBERSTRING(INT(D8*10000),2)&amp;"元整"</f>
        <v>零元整</v>
      </c>
      <c r="E9" s="1961"/>
    </row>
    <row r="10" spans="1:5" ht="15">
      <c r="A10" s="1961"/>
      <c r="B10" s="1967" t="s">
        <v>1627</v>
      </c>
      <c r="C10" s="1968" t="s">
        <v>1625</v>
      </c>
      <c r="D10" s="1043">
        <f>'结果表（商业）'!H104</f>
        <v>0</v>
      </c>
      <c r="E10" s="1961"/>
    </row>
    <row r="11" spans="1:5" ht="15">
      <c r="A11" s="1961"/>
      <c r="B11" s="1967" t="s">
        <v>1629</v>
      </c>
      <c r="C11" s="1968" t="s">
        <v>1630</v>
      </c>
      <c r="D11" s="1043">
        <f>'结果表（商业）'!H105</f>
        <v>0</v>
      </c>
      <c r="E11" s="1961"/>
    </row>
    <row r="12" spans="1:5" ht="15">
      <c r="A12" s="1961"/>
      <c r="B12" s="1967" t="s">
        <v>1631</v>
      </c>
      <c r="C12" s="1968" t="s">
        <v>1630</v>
      </c>
      <c r="D12" s="1043">
        <f>'结果表（商业）'!H106</f>
        <v>0</v>
      </c>
      <c r="E12" s="1961"/>
    </row>
    <row r="13" spans="1:5" ht="15.75">
      <c r="A13" s="1961"/>
      <c r="B13" s="3017" t="str">
        <f>'结果表（商业）'!E107</f>
        <v>3.房地产抵押价值</v>
      </c>
      <c r="C13" s="1969" t="s">
        <v>1621</v>
      </c>
      <c r="D13" s="1044" t="e">
        <f ca="1">'结果表（商业）'!H107</f>
        <v>#N/A</v>
      </c>
      <c r="E13" s="1961"/>
    </row>
    <row r="14" spans="1:5" ht="15.75">
      <c r="A14" s="1961"/>
      <c r="B14" s="3018"/>
      <c r="C14" s="1964" t="s">
        <v>1622</v>
      </c>
      <c r="D14" s="1041" t="e">
        <f ca="1">NUMBERSTRING(INT(D13*10000),2)&amp;"元整"</f>
        <v>#N/A</v>
      </c>
      <c r="E14" s="1961"/>
    </row>
    <row r="15" spans="1:5" ht="15">
      <c r="A15" s="1961"/>
      <c r="B15" s="3023"/>
      <c r="C15" s="1965" t="s">
        <v>1632</v>
      </c>
      <c r="D15" s="1053" t="e">
        <f ca="1">'结果表（商业）'!H108</f>
        <v>#N/A</v>
      </c>
      <c r="E15" s="1961"/>
    </row>
    <row r="16" spans="1:5" ht="15">
      <c r="A16" s="1961"/>
      <c r="B16" s="3024" t="str">
        <f>'结果表（商业）'!E109</f>
        <v>——</v>
      </c>
      <c r="C16" s="1969" t="s">
        <v>1633</v>
      </c>
      <c r="D16" s="1970" t="str">
        <f>'结果表（商业）'!H109</f>
        <v>——</v>
      </c>
      <c r="E16" s="1961"/>
    </row>
    <row r="17" spans="1:5" ht="15.75">
      <c r="A17" s="1961"/>
      <c r="B17" s="3025"/>
      <c r="C17" s="1964" t="s">
        <v>1634</v>
      </c>
      <c r="D17" s="1041" t="e">
        <f>NUMBERSTRING(INT(D16*10000),2)&amp;"元整"</f>
        <v>#VALUE!</v>
      </c>
      <c r="E17" s="1961"/>
    </row>
    <row r="18" spans="1:5" ht="15">
      <c r="A18" s="1961"/>
      <c r="B18" s="3026"/>
      <c r="C18" s="1965" t="s">
        <v>1623</v>
      </c>
      <c r="D18" s="1053" t="str">
        <f>'结果表（商业）'!H110</f>
        <v>——</v>
      </c>
      <c r="E18" s="1961"/>
    </row>
    <row r="19" spans="1:5" ht="15.75">
      <c r="A19" s="1961"/>
      <c r="B19" s="3017" t="str">
        <f>'结果表（商业）'!E111</f>
        <v>——</v>
      </c>
      <c r="C19" s="1969" t="s">
        <v>1621</v>
      </c>
      <c r="D19" s="1042" t="str">
        <f>'结果表（商业）'!H111</f>
        <v>——</v>
      </c>
      <c r="E19" s="1961"/>
    </row>
    <row r="20" spans="1:5" ht="15.75">
      <c r="A20" s="1961"/>
      <c r="B20" s="3018"/>
      <c r="C20" s="1964" t="s">
        <v>1634</v>
      </c>
      <c r="D20" s="1041" t="e">
        <f>NUMBERSTRING(INT(D19*10000),2)&amp;"元整"</f>
        <v>#VALUE!</v>
      </c>
      <c r="E20" s="1961"/>
    </row>
    <row r="21" spans="1:5" ht="15.75" thickBot="1">
      <c r="A21" s="1961"/>
      <c r="B21" s="3019"/>
      <c r="C21" s="1971" t="s">
        <v>1632</v>
      </c>
      <c r="D21" s="1054" t="str">
        <f>'结果表（商业）'!H112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2725</v>
      </c>
      <c r="B1" s="395"/>
      <c r="C1" s="396" t="s">
        <v>2726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2308</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30"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30"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30" s="117" customFormat="1" ht="15.75" thickBot="1">
      <c r="A7" s="408" t="s">
        <v>2529</v>
      </c>
      <c r="B7" s="409"/>
      <c r="C7" s="410">
        <f>'数据-取费表'!B2</f>
        <v>43069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30" s="117" customFormat="1" ht="15.7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5" si="3">D8/F8</f>
        <v>#DIV/0!</v>
      </c>
      <c r="AB8" s="772" t="e">
        <f t="shared" ref="AB8:AB45" si="4">D8/H8</f>
        <v>#DIV/0!</v>
      </c>
      <c r="AC8" s="772" t="e">
        <f t="shared" ref="AC8:AC45" si="5">D8/J8</f>
        <v>#DIV/0!</v>
      </c>
    </row>
    <row r="9" spans="1:30" s="117" customFormat="1">
      <c r="A9" s="415" t="s">
        <v>2534</v>
      </c>
      <c r="B9" s="71" t="s">
        <v>2535</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30" s="427" customFormat="1" ht="27">
      <c r="A10" s="421"/>
      <c r="B10" s="422" t="s">
        <v>2538</v>
      </c>
      <c r="C10" s="432"/>
      <c r="D10" s="136">
        <v>100</v>
      </c>
      <c r="E10" s="465"/>
      <c r="F10" s="136">
        <f>ROUND(100/'数据-取费表'!G16,0)</f>
        <v>130</v>
      </c>
      <c r="G10" s="463"/>
      <c r="H10" s="136">
        <f>ROUND(100/'数据-取费表'!G16,0)</f>
        <v>130</v>
      </c>
      <c r="I10" s="463"/>
      <c r="J10" s="136">
        <f>ROUND(100/'数据-取费表'!G16,0)</f>
        <v>130</v>
      </c>
      <c r="K10" s="672"/>
      <c r="L10" s="1136"/>
      <c r="M10" s="1137"/>
      <c r="N10" s="1137"/>
      <c r="O10" s="1138"/>
      <c r="P10" s="3207"/>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30" s="117" customFormat="1" ht="15">
      <c r="A12" s="431"/>
      <c r="B12" s="2597" t="s">
        <v>2728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7"/>
      <c r="Q12" s="1797" t="str">
        <f t="shared" si="6"/>
        <v>配建</v>
      </c>
      <c r="R12" s="769" t="s">
        <v>17</v>
      </c>
      <c r="S12" s="770">
        <f t="shared" si="0"/>
        <v>100</v>
      </c>
      <c r="T12" s="769" t="s">
        <v>17</v>
      </c>
      <c r="U12" s="770">
        <f t="shared" si="1"/>
        <v>100</v>
      </c>
      <c r="V12" s="769" t="s">
        <v>17</v>
      </c>
      <c r="W12" s="770">
        <f t="shared" si="2"/>
        <v>100</v>
      </c>
      <c r="X12" s="771"/>
      <c r="Y12" s="3060"/>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D14/F14</f>
        <v>1</v>
      </c>
      <c r="AB14" s="772">
        <f>D14/H14</f>
        <v>1</v>
      </c>
      <c r="AC14" s="772">
        <f>D14/J14</f>
        <v>1</v>
      </c>
    </row>
    <row r="15" spans="1:30" ht="15">
      <c r="A15" s="440" t="s">
        <v>2540</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14" t="s">
        <v>2541</v>
      </c>
      <c r="Q15" s="1812" t="str">
        <f t="shared" si="6"/>
        <v>居住社区成熟度</v>
      </c>
      <c r="R15" s="773" t="s">
        <v>17</v>
      </c>
      <c r="S15" s="774">
        <f t="shared" si="0"/>
        <v>100</v>
      </c>
      <c r="T15" s="773" t="s">
        <v>17</v>
      </c>
      <c r="U15" s="774">
        <f t="shared" si="1"/>
        <v>100</v>
      </c>
      <c r="V15" s="773" t="s">
        <v>17</v>
      </c>
      <c r="W15" s="774">
        <f t="shared" si="2"/>
        <v>100</v>
      </c>
      <c r="X15" s="1815"/>
      <c r="Y15" s="3214" t="s">
        <v>2541</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451" t="s">
        <v>2634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15"/>
      <c r="Q17" s="1812" t="str">
        <f>B17</f>
        <v>商业繁华度</v>
      </c>
      <c r="R17" s="773" t="s">
        <v>17</v>
      </c>
      <c r="S17" s="774">
        <f>F17</f>
        <v>100</v>
      </c>
      <c r="T17" s="773" t="s">
        <v>17</v>
      </c>
      <c r="U17" s="774">
        <f>H17</f>
        <v>100</v>
      </c>
      <c r="V17" s="773" t="s">
        <v>17</v>
      </c>
      <c r="W17" s="774">
        <f>J17</f>
        <v>100</v>
      </c>
      <c r="X17" s="1815"/>
      <c r="Y17" s="3215"/>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451" t="s">
        <v>2668</v>
      </c>
      <c r="C19" s="2661"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15"/>
      <c r="Q19" s="1812" t="str">
        <f>B19</f>
        <v>办公集聚程度</v>
      </c>
      <c r="R19" s="773" t="s">
        <v>17</v>
      </c>
      <c r="S19" s="774">
        <f>F19</f>
        <v>100</v>
      </c>
      <c r="T19" s="773" t="s">
        <v>17</v>
      </c>
      <c r="U19" s="774">
        <f>H19</f>
        <v>100</v>
      </c>
      <c r="V19" s="773" t="s">
        <v>17</v>
      </c>
      <c r="W19" s="774">
        <f>J19</f>
        <v>100</v>
      </c>
      <c r="X19" s="1815"/>
      <c r="Y19" s="3215"/>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15"/>
      <c r="Q20" s="1812"/>
      <c r="R20" s="773"/>
      <c r="S20" s="774"/>
      <c r="T20" s="773"/>
      <c r="U20" s="774"/>
      <c r="V20" s="773"/>
      <c r="W20" s="774"/>
      <c r="X20" s="1815"/>
      <c r="Y20" s="3215"/>
      <c r="Z20" s="1816"/>
      <c r="AA20" s="1813">
        <v>1</v>
      </c>
      <c r="AB20" s="1813">
        <v>1</v>
      </c>
      <c r="AC20" s="1813">
        <v>1</v>
      </c>
    </row>
    <row r="21" spans="1:29" ht="15">
      <c r="A21" s="428"/>
      <c r="B21" s="451" t="s">
        <v>2690</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15"/>
      <c r="Q21" s="1812" t="str">
        <f>B21</f>
        <v>交通便捷度</v>
      </c>
      <c r="R21" s="773" t="s">
        <v>17</v>
      </c>
      <c r="S21" s="774">
        <f>F21</f>
        <v>100</v>
      </c>
      <c r="T21" s="773" t="s">
        <v>17</v>
      </c>
      <c r="U21" s="774">
        <f>H21</f>
        <v>100</v>
      </c>
      <c r="V21" s="773" t="s">
        <v>17</v>
      </c>
      <c r="W21" s="774">
        <f>J21</f>
        <v>100</v>
      </c>
      <c r="X21" s="1815"/>
      <c r="Y21" s="3215"/>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15"/>
      <c r="Q22" s="1812"/>
      <c r="R22" s="773"/>
      <c r="S22" s="774"/>
      <c r="T22" s="773"/>
      <c r="U22" s="774"/>
      <c r="V22" s="773"/>
      <c r="W22" s="774"/>
      <c r="X22" s="1815"/>
      <c r="Y22" s="3215"/>
      <c r="Z22" s="1816"/>
      <c r="AA22" s="1813">
        <v>1</v>
      </c>
      <c r="AB22" s="1813">
        <v>1</v>
      </c>
      <c r="AC22" s="1813">
        <v>1</v>
      </c>
    </row>
    <row r="23" spans="1:29" ht="15">
      <c r="A23" s="404"/>
      <c r="B23" s="451" t="s">
        <v>2729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15"/>
      <c r="Q23" s="1812" t="str">
        <f t="shared" ref="Q23:Q37" si="8">B23</f>
        <v>区域土地利用方向</v>
      </c>
      <c r="R23" s="773" t="s">
        <v>17</v>
      </c>
      <c r="S23" s="774">
        <f>F23</f>
        <v>100</v>
      </c>
      <c r="T23" s="773" t="s">
        <v>17</v>
      </c>
      <c r="U23" s="774">
        <f>H23</f>
        <v>100</v>
      </c>
      <c r="V23" s="773" t="s">
        <v>17</v>
      </c>
      <c r="W23" s="774">
        <f>J23</f>
        <v>100</v>
      </c>
      <c r="X23" s="1815"/>
      <c r="Y23" s="3215"/>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15"/>
      <c r="Q24" s="1812"/>
      <c r="R24" s="773"/>
      <c r="S24" s="774"/>
      <c r="T24" s="773"/>
      <c r="U24" s="774"/>
      <c r="V24" s="773"/>
      <c r="W24" s="774"/>
      <c r="X24" s="1815"/>
      <c r="Y24" s="3215"/>
      <c r="Z24" s="1816"/>
      <c r="AA24" s="1813"/>
      <c r="AB24" s="1813"/>
      <c r="AC24" s="1813"/>
    </row>
    <row r="25" spans="1:29" ht="27">
      <c r="A25" s="404"/>
      <c r="B25" s="1385" t="s">
        <v>2730</v>
      </c>
      <c r="C25" s="2661"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15"/>
      <c r="Q25" s="1812" t="str">
        <f t="shared" si="8"/>
        <v>自然及人文环境状况</v>
      </c>
      <c r="R25" s="773" t="s">
        <v>17</v>
      </c>
      <c r="S25" s="774">
        <f>F25</f>
        <v>100</v>
      </c>
      <c r="T25" s="773" t="s">
        <v>17</v>
      </c>
      <c r="U25" s="774">
        <f>H25</f>
        <v>100</v>
      </c>
      <c r="V25" s="773" t="s">
        <v>17</v>
      </c>
      <c r="W25" s="774">
        <f>J25</f>
        <v>100</v>
      </c>
      <c r="X25" s="1815"/>
      <c r="Y25" s="3215"/>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15"/>
      <c r="Q26" s="1812"/>
      <c r="R26" s="773"/>
      <c r="S26" s="774"/>
      <c r="T26" s="773"/>
      <c r="U26" s="774"/>
      <c r="V26" s="773"/>
      <c r="W26" s="774"/>
      <c r="X26" s="1815"/>
      <c r="Y26" s="3215"/>
      <c r="Z26" s="1816"/>
      <c r="AA26" s="1813">
        <v>1</v>
      </c>
      <c r="AB26" s="1813">
        <v>1</v>
      </c>
      <c r="AC26" s="1813">
        <v>1</v>
      </c>
    </row>
    <row r="27" spans="1:29" s="117" customFormat="1" ht="15">
      <c r="A27" s="649"/>
      <c r="B27" s="1385" t="s">
        <v>2635</v>
      </c>
      <c r="C27" s="2604"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15"/>
      <c r="Q27" s="1797" t="str">
        <f t="shared" si="8"/>
        <v>公共配套设施</v>
      </c>
      <c r="R27" s="769" t="s">
        <v>17</v>
      </c>
      <c r="S27" s="770">
        <f>F27</f>
        <v>100</v>
      </c>
      <c r="T27" s="769" t="s">
        <v>17</v>
      </c>
      <c r="U27" s="770">
        <f>H27</f>
        <v>100</v>
      </c>
      <c r="V27" s="769" t="s">
        <v>17</v>
      </c>
      <c r="W27" s="770">
        <f>J27</f>
        <v>100</v>
      </c>
      <c r="X27" s="771"/>
      <c r="Y27" s="3215"/>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15"/>
      <c r="Q28" s="1797"/>
      <c r="R28" s="769"/>
      <c r="S28" s="770"/>
      <c r="T28" s="769"/>
      <c r="U28" s="770"/>
      <c r="V28" s="769"/>
      <c r="W28" s="770"/>
      <c r="X28" s="771"/>
      <c r="Y28" s="3215"/>
      <c r="Z28" s="55"/>
      <c r="AA28" s="1813">
        <v>1</v>
      </c>
      <c r="AB28" s="1813">
        <v>1</v>
      </c>
      <c r="AC28" s="1813">
        <v>1</v>
      </c>
    </row>
    <row r="29" spans="1:29" s="117" customFormat="1" ht="15">
      <c r="A29" s="649"/>
      <c r="B29" s="1385" t="s">
        <v>2636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15"/>
      <c r="Q29" s="1797" t="str">
        <f t="shared" ref="Q29" si="9">B29</f>
        <v>基础设施水平</v>
      </c>
      <c r="R29" s="769" t="s">
        <v>17</v>
      </c>
      <c r="S29" s="770">
        <f>F29</f>
        <v>100</v>
      </c>
      <c r="T29" s="769" t="s">
        <v>17</v>
      </c>
      <c r="U29" s="770">
        <f>H29</f>
        <v>100</v>
      </c>
      <c r="V29" s="769" t="s">
        <v>17</v>
      </c>
      <c r="W29" s="770">
        <f>J29</f>
        <v>100</v>
      </c>
      <c r="X29" s="771"/>
      <c r="Y29" s="3215"/>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15"/>
      <c r="Q30" s="1797"/>
      <c r="R30" s="769"/>
      <c r="S30" s="770"/>
      <c r="T30" s="769"/>
      <c r="U30" s="770"/>
      <c r="V30" s="769"/>
      <c r="W30" s="770"/>
      <c r="X30" s="771"/>
      <c r="Y30" s="3215"/>
      <c r="Z30" s="55"/>
      <c r="AA30" s="1813">
        <v>1</v>
      </c>
      <c r="AB30" s="1813">
        <v>1</v>
      </c>
      <c r="AC30" s="1813">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1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5"/>
      <c r="Z31" s="1816" t="str">
        <f t="shared" ref="Z31:Z45" si="13">Q31</f>
        <v>临街状况</v>
      </c>
      <c r="AA31" s="1813">
        <f t="shared" si="3"/>
        <v>1</v>
      </c>
      <c r="AB31" s="1813">
        <f t="shared" si="4"/>
        <v>1</v>
      </c>
      <c r="AC31" s="1813">
        <f t="shared" si="5"/>
        <v>1</v>
      </c>
    </row>
    <row r="32" spans="1:29" ht="27">
      <c r="A32" s="428"/>
      <c r="B32" s="1385"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15"/>
      <c r="Q32" s="1812" t="str">
        <f t="shared" si="8"/>
        <v>毗邻道路的类型与等级</v>
      </c>
      <c r="R32" s="773" t="s">
        <v>17</v>
      </c>
      <c r="S32" s="774">
        <f t="shared" si="10"/>
        <v>100</v>
      </c>
      <c r="T32" s="773" t="s">
        <v>17</v>
      </c>
      <c r="U32" s="774">
        <f t="shared" si="11"/>
        <v>100</v>
      </c>
      <c r="V32" s="773" t="s">
        <v>17</v>
      </c>
      <c r="W32" s="774">
        <f t="shared" si="12"/>
        <v>100</v>
      </c>
      <c r="X32" s="1815"/>
      <c r="Y32" s="3215"/>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15"/>
      <c r="Q33" s="1812"/>
      <c r="R33" s="773"/>
      <c r="S33" s="774"/>
      <c r="T33" s="773"/>
      <c r="U33" s="774"/>
      <c r="V33" s="773"/>
      <c r="W33" s="774"/>
      <c r="X33" s="1815"/>
      <c r="Y33" s="3215"/>
      <c r="Z33" s="1816"/>
      <c r="AA33" s="1813">
        <v>1</v>
      </c>
      <c r="AB33" s="1813">
        <v>1</v>
      </c>
      <c r="AC33" s="1813">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15"/>
      <c r="Q34" s="1812" t="str">
        <f t="shared" si="8"/>
        <v>土地级别</v>
      </c>
      <c r="R34" s="773" t="s">
        <v>17</v>
      </c>
      <c r="S34" s="774">
        <f t="shared" si="10"/>
        <v>100</v>
      </c>
      <c r="T34" s="773" t="s">
        <v>17</v>
      </c>
      <c r="U34" s="774">
        <f t="shared" si="11"/>
        <v>100</v>
      </c>
      <c r="V34" s="773" t="s">
        <v>17</v>
      </c>
      <c r="W34" s="774">
        <f t="shared" si="12"/>
        <v>100</v>
      </c>
      <c r="X34" s="1815"/>
      <c r="Y34" s="3215"/>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5"/>
      <c r="Q35" s="1812">
        <f t="shared" si="8"/>
        <v>111</v>
      </c>
      <c r="R35" s="773" t="s">
        <v>17</v>
      </c>
      <c r="S35" s="774">
        <f t="shared" si="10"/>
        <v>100</v>
      </c>
      <c r="T35" s="773" t="s">
        <v>17</v>
      </c>
      <c r="U35" s="774">
        <f t="shared" si="11"/>
        <v>100</v>
      </c>
      <c r="V35" s="773" t="s">
        <v>17</v>
      </c>
      <c r="W35" s="774">
        <f t="shared" si="12"/>
        <v>100</v>
      </c>
      <c r="X35" s="1815"/>
      <c r="Y35" s="3215"/>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9" t="s">
        <v>2546</v>
      </c>
      <c r="Q36" s="1812">
        <f t="shared" si="8"/>
        <v>111</v>
      </c>
      <c r="R36" s="773" t="s">
        <v>17</v>
      </c>
      <c r="S36" s="774">
        <f t="shared" si="10"/>
        <v>100</v>
      </c>
      <c r="T36" s="773" t="s">
        <v>17</v>
      </c>
      <c r="U36" s="774">
        <f t="shared" si="11"/>
        <v>100</v>
      </c>
      <c r="V36" s="773" t="s">
        <v>17</v>
      </c>
      <c r="W36" s="774">
        <f t="shared" si="12"/>
        <v>100</v>
      </c>
      <c r="X36" s="1815"/>
      <c r="Y36" s="3219" t="s">
        <v>2546</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9"/>
      <c r="Q37" s="1812">
        <f t="shared" si="8"/>
        <v>111</v>
      </c>
      <c r="R37" s="776" t="s">
        <v>17</v>
      </c>
      <c r="S37" s="777">
        <f t="shared" si="10"/>
        <v>100</v>
      </c>
      <c r="T37" s="776" t="s">
        <v>17</v>
      </c>
      <c r="U37" s="777">
        <f t="shared" si="11"/>
        <v>100</v>
      </c>
      <c r="V37" s="776" t="s">
        <v>17</v>
      </c>
      <c r="W37" s="777">
        <f t="shared" si="12"/>
        <v>100</v>
      </c>
      <c r="X37" s="778"/>
      <c r="Y37" s="3219"/>
      <c r="Z37" s="779">
        <f t="shared" si="13"/>
        <v>111</v>
      </c>
      <c r="AA37" s="1813">
        <f t="shared" si="3"/>
        <v>1</v>
      </c>
      <c r="AB37" s="1813">
        <f t="shared" si="4"/>
        <v>1</v>
      </c>
      <c r="AC37" s="1813">
        <f t="shared" si="5"/>
        <v>1</v>
      </c>
    </row>
    <row r="38" spans="1:29" ht="15">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9"/>
      <c r="Q38" s="1812" t="str">
        <f>B38</f>
        <v>宗地面积</v>
      </c>
      <c r="R38" s="773" t="s">
        <v>17</v>
      </c>
      <c r="S38" s="774" t="e">
        <f t="shared" si="10"/>
        <v>#N/A</v>
      </c>
      <c r="T38" s="773" t="s">
        <v>17</v>
      </c>
      <c r="U38" s="774" t="e">
        <f t="shared" si="11"/>
        <v>#N/A</v>
      </c>
      <c r="V38" s="773" t="s">
        <v>17</v>
      </c>
      <c r="W38" s="774" t="e">
        <f t="shared" si="12"/>
        <v>#N/A</v>
      </c>
      <c r="X38" s="1815"/>
      <c r="Y38" s="3219"/>
      <c r="Z38" s="1816" t="str">
        <f t="shared" si="13"/>
        <v>宗地面积</v>
      </c>
      <c r="AA38" s="1813" t="e">
        <f t="shared" si="3"/>
        <v>#N/A</v>
      </c>
      <c r="AB38" s="1813" t="e">
        <f t="shared" si="4"/>
        <v>#N/A</v>
      </c>
      <c r="AC38" s="1813" t="e">
        <f t="shared" si="5"/>
        <v>#N/A</v>
      </c>
    </row>
    <row r="39" spans="1:29" ht="15">
      <c r="A39" s="472"/>
      <c r="B39" s="422" t="s">
        <v>2733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19"/>
      <c r="Q39" s="1812" t="str">
        <f t="shared" ref="Q39:Q45" si="14">B39</f>
        <v>宗地形状</v>
      </c>
      <c r="R39" s="773" t="s">
        <v>17</v>
      </c>
      <c r="S39" s="774">
        <f t="shared" si="10"/>
        <v>100</v>
      </c>
      <c r="T39" s="773" t="s">
        <v>17</v>
      </c>
      <c r="U39" s="774">
        <f t="shared" si="11"/>
        <v>100</v>
      </c>
      <c r="V39" s="773" t="s">
        <v>17</v>
      </c>
      <c r="W39" s="774">
        <f t="shared" si="12"/>
        <v>100</v>
      </c>
      <c r="X39" s="1815"/>
      <c r="Y39" s="3219"/>
      <c r="Z39" s="1816" t="str">
        <f t="shared" si="13"/>
        <v>宗地形状</v>
      </c>
      <c r="AA39" s="1813">
        <f t="shared" si="3"/>
        <v>1</v>
      </c>
      <c r="AB39" s="1813">
        <f t="shared" si="4"/>
        <v>1</v>
      </c>
      <c r="AC39" s="1813">
        <f t="shared" si="5"/>
        <v>1</v>
      </c>
    </row>
    <row r="40" spans="1:29" ht="15">
      <c r="A40" s="472"/>
      <c r="B40" s="422" t="s">
        <v>2734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19"/>
      <c r="Q40" s="1812" t="str">
        <f t="shared" si="14"/>
        <v>临街宽度及深度</v>
      </c>
      <c r="R40" s="773" t="s">
        <v>17</v>
      </c>
      <c r="S40" s="774">
        <f t="shared" si="10"/>
        <v>100</v>
      </c>
      <c r="T40" s="773" t="s">
        <v>17</v>
      </c>
      <c r="U40" s="774">
        <f t="shared" si="11"/>
        <v>100</v>
      </c>
      <c r="V40" s="773" t="s">
        <v>17</v>
      </c>
      <c r="W40" s="774">
        <f t="shared" si="12"/>
        <v>100</v>
      </c>
      <c r="X40" s="1815"/>
      <c r="Y40" s="3219"/>
      <c r="Z40" s="1816" t="str">
        <f t="shared" si="13"/>
        <v>临街宽度及深度</v>
      </c>
      <c r="AA40" s="1813">
        <f t="shared" si="3"/>
        <v>1</v>
      </c>
      <c r="AB40" s="1813">
        <f t="shared" si="4"/>
        <v>1</v>
      </c>
      <c r="AC40" s="1813">
        <f t="shared" si="5"/>
        <v>1</v>
      </c>
    </row>
    <row r="41" spans="1:29" s="117" customFormat="1" ht="15">
      <c r="A41" s="473"/>
      <c r="B41" s="422" t="s">
        <v>2735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19"/>
      <c r="Q41" s="1812" t="str">
        <f t="shared" si="14"/>
        <v>宗地开发程度</v>
      </c>
      <c r="R41" s="769" t="s">
        <v>17</v>
      </c>
      <c r="S41" s="770">
        <f t="shared" si="10"/>
        <v>100</v>
      </c>
      <c r="T41" s="769" t="s">
        <v>17</v>
      </c>
      <c r="U41" s="770">
        <f t="shared" si="11"/>
        <v>100</v>
      </c>
      <c r="V41" s="769" t="s">
        <v>17</v>
      </c>
      <c r="W41" s="770">
        <f t="shared" si="12"/>
        <v>100</v>
      </c>
      <c r="X41" s="771"/>
      <c r="Y41" s="3219"/>
      <c r="Z41" s="55" t="str">
        <f t="shared" si="13"/>
        <v>宗地开发程度</v>
      </c>
      <c r="AA41" s="772">
        <f t="shared" si="3"/>
        <v>1</v>
      </c>
      <c r="AB41" s="772">
        <f t="shared" si="4"/>
        <v>1</v>
      </c>
      <c r="AC41" s="772">
        <f t="shared" si="5"/>
        <v>1</v>
      </c>
    </row>
    <row r="42" spans="1:29" ht="15">
      <c r="A42" s="472"/>
      <c r="B42" s="422" t="s">
        <v>2736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19" t="s">
        <v>2546</v>
      </c>
      <c r="Q42" s="1812" t="str">
        <f t="shared" si="14"/>
        <v>工程地质条件</v>
      </c>
      <c r="R42" s="773" t="s">
        <v>17</v>
      </c>
      <c r="S42" s="774">
        <f t="shared" si="10"/>
        <v>100</v>
      </c>
      <c r="T42" s="773" t="s">
        <v>17</v>
      </c>
      <c r="U42" s="774">
        <f t="shared" si="11"/>
        <v>100</v>
      </c>
      <c r="V42" s="773" t="s">
        <v>17</v>
      </c>
      <c r="W42" s="774">
        <f t="shared" si="12"/>
        <v>100</v>
      </c>
      <c r="X42" s="1815"/>
      <c r="Y42" s="3219" t="s">
        <v>2546</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9"/>
      <c r="Q43" s="1812">
        <f t="shared" si="14"/>
        <v>111</v>
      </c>
      <c r="R43" s="773" t="s">
        <v>17</v>
      </c>
      <c r="S43" s="774">
        <f t="shared" si="10"/>
        <v>100</v>
      </c>
      <c r="T43" s="773" t="s">
        <v>17</v>
      </c>
      <c r="U43" s="774">
        <f t="shared" si="11"/>
        <v>100</v>
      </c>
      <c r="V43" s="773" t="s">
        <v>17</v>
      </c>
      <c r="W43" s="774">
        <f t="shared" si="12"/>
        <v>100</v>
      </c>
      <c r="X43" s="1815"/>
      <c r="Y43" s="3219"/>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9"/>
      <c r="Q44" s="1812">
        <f t="shared" si="14"/>
        <v>111</v>
      </c>
      <c r="R44" s="773" t="s">
        <v>17</v>
      </c>
      <c r="S44" s="774">
        <f t="shared" si="10"/>
        <v>100</v>
      </c>
      <c r="T44" s="773" t="s">
        <v>17</v>
      </c>
      <c r="U44" s="774">
        <f t="shared" si="11"/>
        <v>100</v>
      </c>
      <c r="V44" s="773" t="s">
        <v>17</v>
      </c>
      <c r="W44" s="774">
        <f t="shared" si="12"/>
        <v>100</v>
      </c>
      <c r="X44" s="1815"/>
      <c r="Y44" s="3219"/>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9"/>
      <c r="Q45" s="1812">
        <f t="shared" si="14"/>
        <v>111</v>
      </c>
      <c r="R45" s="776" t="s">
        <v>17</v>
      </c>
      <c r="S45" s="777">
        <f t="shared" si="10"/>
        <v>100</v>
      </c>
      <c r="T45" s="776" t="s">
        <v>17</v>
      </c>
      <c r="U45" s="777">
        <f t="shared" si="11"/>
        <v>100</v>
      </c>
      <c r="V45" s="776" t="s">
        <v>17</v>
      </c>
      <c r="W45" s="777">
        <f t="shared" si="12"/>
        <v>100</v>
      </c>
      <c r="X45" s="778"/>
      <c r="Y45" s="3219"/>
      <c r="Z45" s="779">
        <f t="shared" si="13"/>
        <v>111</v>
      </c>
      <c r="AA45" s="1813">
        <f t="shared" si="3"/>
        <v>1</v>
      </c>
      <c r="AB45" s="1813">
        <f t="shared" si="4"/>
        <v>1</v>
      </c>
      <c r="AC45" s="1813">
        <f t="shared" si="5"/>
        <v>1</v>
      </c>
    </row>
    <row r="46" spans="1:29" ht="15">
      <c r="A46" s="479" t="s">
        <v>2701</v>
      </c>
      <c r="B46" s="2701" t="s">
        <v>2737</v>
      </c>
      <c r="C46" s="682" t="s">
        <v>1</v>
      </c>
      <c r="D46" s="481"/>
      <c r="E46" s="482"/>
      <c r="F46" s="483"/>
      <c r="G46" s="484"/>
      <c r="H46" s="485"/>
      <c r="I46" s="482"/>
      <c r="J46" s="485"/>
      <c r="K46" s="782"/>
      <c r="L46" s="1144"/>
      <c r="M46" s="1145"/>
      <c r="N46" s="1132"/>
      <c r="O46" s="1145"/>
      <c r="P46" s="3207" t="str">
        <f>A46</f>
        <v>成交单价</v>
      </c>
      <c r="Q46" s="3207"/>
      <c r="R46" s="3241">
        <f>E46</f>
        <v>0</v>
      </c>
      <c r="S46" s="3241"/>
      <c r="T46" s="3241">
        <f>G46</f>
        <v>0</v>
      </c>
      <c r="U46" s="3241"/>
      <c r="V46" s="3241">
        <f>I46</f>
        <v>0</v>
      </c>
      <c r="W46" s="3241"/>
      <c r="X46" s="758"/>
      <c r="Y46" s="780"/>
      <c r="Z46" s="758"/>
      <c r="AA46" s="758"/>
      <c r="AB46" s="758"/>
      <c r="AC46" s="758"/>
    </row>
    <row r="47" spans="1:29" ht="15.75" thickBot="1">
      <c r="A47" s="486" t="s">
        <v>2650</v>
      </c>
      <c r="B47" s="683"/>
      <c r="C47" s="490" t="e">
        <f>R48</f>
        <v>#DIV/0!</v>
      </c>
      <c r="D47" s="489"/>
      <c r="E47" s="490" t="e">
        <f>R47</f>
        <v>#DIV/0!</v>
      </c>
      <c r="F47" s="491"/>
      <c r="G47" s="488" t="e">
        <f>T47</f>
        <v>#DIV/0!</v>
      </c>
      <c r="H47" s="489"/>
      <c r="I47" s="490" t="e">
        <f>V47</f>
        <v>#DIV/0!</v>
      </c>
      <c r="J47" s="489"/>
      <c r="K47" s="783"/>
      <c r="L47" s="1144"/>
      <c r="M47" s="1145"/>
      <c r="N47" s="1145"/>
      <c r="O47" s="1145"/>
      <c r="P47" s="3207" t="str">
        <f>A47</f>
        <v>比较价值（元/平方米）</v>
      </c>
      <c r="Q47" s="3207"/>
      <c r="R47" s="3310" t="e">
        <f>ROUND(PRODUCT(R46,AA7:AA45),0)</f>
        <v>#DIV/0!</v>
      </c>
      <c r="S47" s="3310"/>
      <c r="T47" s="3310" t="e">
        <f>ROUND(PRODUCT(T46,AB7:AB45),0)</f>
        <v>#DIV/0!</v>
      </c>
      <c r="U47" s="3310"/>
      <c r="V47" s="3310" t="e">
        <f>ROUND(PRODUCT(V46,AC7:AC45),0)</f>
        <v>#DIV/0!</v>
      </c>
      <c r="W47" s="3310"/>
      <c r="X47" s="758"/>
      <c r="Y47" s="758"/>
      <c r="Z47" s="758"/>
      <c r="AA47" s="758"/>
      <c r="AB47" s="758"/>
      <c r="AC47" s="758"/>
    </row>
    <row r="48" spans="1:29" ht="15.75" thickBot="1">
      <c r="A48" s="492" t="s">
        <v>2738</v>
      </c>
      <c r="B48" s="493"/>
      <c r="C48" s="494" t="e">
        <f>R48</f>
        <v>#DIV/0!</v>
      </c>
      <c r="D48" s="494"/>
      <c r="E48" s="494"/>
      <c r="F48" s="494"/>
      <c r="G48" s="494"/>
      <c r="H48" s="494"/>
      <c r="I48" s="494"/>
      <c r="J48" s="494"/>
      <c r="K48" s="784"/>
      <c r="L48" s="1144"/>
      <c r="M48" s="1145"/>
      <c r="N48" s="1145"/>
      <c r="O48" s="1145"/>
      <c r="P48" s="3267" t="str">
        <f>A48</f>
        <v>估价对象XX用房的比较价值（楼面单价，元/平方米）</v>
      </c>
      <c r="Q48" s="3268"/>
      <c r="R48" s="3311" t="e">
        <f>ROUND(AVERAGE(R47:V47),0)</f>
        <v>#DIV/0!</v>
      </c>
      <c r="S48" s="3311"/>
      <c r="T48" s="3311"/>
      <c r="U48" s="3311"/>
      <c r="V48" s="3311"/>
      <c r="W48" s="331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2739</v>
      </c>
      <c r="B55" s="685" t="s">
        <v>2740</v>
      </c>
      <c r="C55" s="2702" t="s">
        <v>2741</v>
      </c>
      <c r="D55" s="2703" t="s">
        <v>2742</v>
      </c>
      <c r="E55" s="686" t="s">
        <v>2743</v>
      </c>
      <c r="F55" s="1108" t="s">
        <v>2744</v>
      </c>
      <c r="G55" s="3224" t="s">
        <v>2745</v>
      </c>
      <c r="H55" s="3312"/>
      <c r="I55" s="144" t="s">
        <v>2746</v>
      </c>
      <c r="J55" s="2704" t="str">
        <f>项目基本情况!F35</f>
        <v>新疆维吾尔自治区</v>
      </c>
      <c r="K55" s="2705" t="s">
        <v>2747</v>
      </c>
      <c r="L55" s="1107"/>
      <c r="M55" s="1145"/>
      <c r="N55" s="1145"/>
      <c r="O55" s="1145"/>
    </row>
    <row r="56" spans="1:15" s="692" customFormat="1">
      <c r="A56" s="688" t="s">
        <v>2748</v>
      </c>
      <c r="B56" s="689" t="e">
        <f>C48</f>
        <v>#DIV/0!</v>
      </c>
      <c r="C56" s="690">
        <v>1</v>
      </c>
      <c r="D56" s="1164">
        <v>1</v>
      </c>
      <c r="E56" s="690">
        <f>'数据-汇总表'!E8+'数据-汇总表'!E9</f>
        <v>2282.61</v>
      </c>
      <c r="F56" s="1104" t="e">
        <f t="shared" ref="F56:F65" si="15">ROUND(B56*E56/10000,0)</f>
        <v>#DIV/0!</v>
      </c>
      <c r="G56" s="3206"/>
      <c r="H56" s="3207"/>
      <c r="I56" s="1109">
        <v>1</v>
      </c>
      <c r="J56" s="1112">
        <v>1</v>
      </c>
      <c r="K56" s="1146"/>
      <c r="L56" s="942"/>
      <c r="M56" s="942"/>
      <c r="N56" s="942"/>
      <c r="O56" s="942"/>
    </row>
    <row r="57" spans="1:15" s="692" customFormat="1">
      <c r="A57" s="693" t="s">
        <v>2749</v>
      </c>
      <c r="B57" s="262" t="e">
        <f>ROUND($C$48*C57*D57,0)</f>
        <v>#DIV/0!</v>
      </c>
      <c r="C57" s="200">
        <f t="shared" ref="C57:C65" si="16">IF($C$55="北京市系数",I57,J57)</f>
        <v>0</v>
      </c>
      <c r="D57" s="1165">
        <v>0.25</v>
      </c>
      <c r="E57" s="694"/>
      <c r="F57" s="1104" t="e">
        <f t="shared" si="15"/>
        <v>#DIV/0!</v>
      </c>
      <c r="G57" s="3313" t="s">
        <v>2750</v>
      </c>
      <c r="H57" s="1105">
        <f>项目基本情况!B37</f>
        <v>0</v>
      </c>
      <c r="I57" s="1109">
        <f>SUMIF(修正!A45:A56,H57,修正!B45:B56)</f>
        <v>0</v>
      </c>
      <c r="J57" s="1113"/>
      <c r="K57" s="1145"/>
      <c r="L57" s="942"/>
      <c r="M57" s="942"/>
      <c r="N57" s="942"/>
      <c r="O57" s="942"/>
    </row>
    <row r="58" spans="1:15" s="692" customFormat="1">
      <c r="A58" s="693" t="s">
        <v>2751</v>
      </c>
      <c r="B58" s="262" t="e">
        <f t="shared" ref="B58:B65" si="17">ROUND($C$48*C58*D58,0)</f>
        <v>#DIV/0!</v>
      </c>
      <c r="C58" s="200">
        <f t="shared" si="16"/>
        <v>0</v>
      </c>
      <c r="D58" s="1165">
        <v>0.25</v>
      </c>
      <c r="E58" s="694"/>
      <c r="F58" s="1104" t="e">
        <f t="shared" si="15"/>
        <v>#DIV/0!</v>
      </c>
      <c r="G58" s="3313"/>
      <c r="H58" s="1105">
        <f>项目基本情况!B37</f>
        <v>0</v>
      </c>
      <c r="I58" s="1109">
        <f>SUMIF(修正!A45:A56,H58,修正!C45:C56)</f>
        <v>0</v>
      </c>
      <c r="J58" s="1113"/>
      <c r="K58" s="1146"/>
      <c r="L58" s="942"/>
      <c r="M58" s="942"/>
      <c r="N58" s="942"/>
      <c r="O58" s="942"/>
    </row>
    <row r="59" spans="1:15" s="692" customFormat="1">
      <c r="A59" s="693" t="s">
        <v>2752</v>
      </c>
      <c r="B59" s="262" t="e">
        <f t="shared" si="17"/>
        <v>#DIV/0!</v>
      </c>
      <c r="C59" s="200">
        <f t="shared" si="16"/>
        <v>0</v>
      </c>
      <c r="D59" s="1165">
        <v>0.25</v>
      </c>
      <c r="E59" s="694"/>
      <c r="F59" s="1104" t="e">
        <f t="shared" si="15"/>
        <v>#DIV/0!</v>
      </c>
      <c r="G59" s="3313"/>
      <c r="H59" s="1105">
        <f>项目基本情况!B37</f>
        <v>0</v>
      </c>
      <c r="I59" s="1109">
        <f>SUMIF(修正!A45:A56,H59,修正!D45:D56)</f>
        <v>0</v>
      </c>
      <c r="J59" s="1113"/>
      <c r="K59" s="1145"/>
      <c r="L59" s="942"/>
      <c r="M59" s="942"/>
      <c r="N59" s="942"/>
      <c r="O59" s="942"/>
    </row>
    <row r="60" spans="1:15" s="692" customFormat="1">
      <c r="A60" s="693" t="s">
        <v>2753</v>
      </c>
      <c r="B60" s="262" t="e">
        <f t="shared" si="17"/>
        <v>#DIV/0!</v>
      </c>
      <c r="C60" s="200">
        <f t="shared" si="16"/>
        <v>0</v>
      </c>
      <c r="D60" s="1165">
        <v>0.25</v>
      </c>
      <c r="E60" s="694"/>
      <c r="F60" s="1104" t="e">
        <f t="shared" si="15"/>
        <v>#DIV/0!</v>
      </c>
      <c r="G60" s="3313"/>
      <c r="H60" s="1105">
        <f>项目基本情况!B37</f>
        <v>0</v>
      </c>
      <c r="I60" s="1109">
        <f>SUMIF(修正!A45:A56,H60,修正!E45:E56)</f>
        <v>0</v>
      </c>
      <c r="J60" s="1113"/>
      <c r="K60" s="1146"/>
      <c r="L60" s="942"/>
      <c r="M60" s="942"/>
      <c r="N60" s="942"/>
      <c r="O60" s="942"/>
    </row>
    <row r="61" spans="1:15" s="692" customFormat="1">
      <c r="A61" s="693" t="s">
        <v>2754</v>
      </c>
      <c r="B61" s="262" t="e">
        <f t="shared" si="17"/>
        <v>#DIV/0!</v>
      </c>
      <c r="C61" s="200">
        <f t="shared" si="16"/>
        <v>0</v>
      </c>
      <c r="D61" s="1165">
        <v>0.25</v>
      </c>
      <c r="E61" s="261">
        <f>'数据-汇总表'!E11</f>
        <v>0</v>
      </c>
      <c r="F61" s="1104" t="e">
        <f t="shared" si="15"/>
        <v>#DIV/0!</v>
      </c>
      <c r="G61" s="2706" t="s">
        <v>2755</v>
      </c>
      <c r="H61" s="1105">
        <f>项目基本情况!C37</f>
        <v>0</v>
      </c>
      <c r="I61" s="1109">
        <f>SUMIF(修正!A45:A56,H61,修正!F45:F56)</f>
        <v>0</v>
      </c>
      <c r="J61" s="1113"/>
      <c r="K61" s="1145"/>
      <c r="L61" s="942"/>
      <c r="M61" s="942"/>
      <c r="N61" s="942"/>
      <c r="O61" s="942"/>
    </row>
    <row r="62" spans="1:15" s="692" customFormat="1">
      <c r="A62" s="693" t="s">
        <v>2756</v>
      </c>
      <c r="B62" s="262" t="e">
        <f t="shared" si="17"/>
        <v>#DIV/0!</v>
      </c>
      <c r="C62" s="200">
        <f t="shared" si="16"/>
        <v>0</v>
      </c>
      <c r="D62" s="1165">
        <v>0.25</v>
      </c>
      <c r="E62" s="261">
        <f>'数据-汇总表'!E12</f>
        <v>0</v>
      </c>
      <c r="F62" s="1104" t="e">
        <f t="shared" si="15"/>
        <v>#DIV/0!</v>
      </c>
      <c r="G62" s="1110" t="s">
        <v>2757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2758</v>
      </c>
      <c r="B63" s="262" t="e">
        <f t="shared" si="17"/>
        <v>#DIV/0!</v>
      </c>
      <c r="C63" s="200">
        <f t="shared" si="16"/>
        <v>0</v>
      </c>
      <c r="D63" s="1165">
        <v>0.25</v>
      </c>
      <c r="E63" s="261">
        <f>'数据-汇总表'!E13</f>
        <v>0</v>
      </c>
      <c r="F63" s="1104" t="e">
        <f t="shared" si="15"/>
        <v>#DIV/0!</v>
      </c>
      <c r="G63" s="1110" t="s">
        <v>2759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2760</v>
      </c>
      <c r="B64" s="262" t="e">
        <f t="shared" si="17"/>
        <v>#DIV/0!</v>
      </c>
      <c r="C64" s="200">
        <f t="shared" si="16"/>
        <v>0</v>
      </c>
      <c r="D64" s="1165">
        <v>0.25</v>
      </c>
      <c r="E64" s="261">
        <f>'数据-汇总表'!E14</f>
        <v>0</v>
      </c>
      <c r="F64" s="1104" t="e">
        <f t="shared" si="15"/>
        <v>#DIV/0!</v>
      </c>
      <c r="G64" s="2706" t="s">
        <v>2750</v>
      </c>
      <c r="H64" s="1105">
        <f>项目基本情况!B37</f>
        <v>0</v>
      </c>
      <c r="I64" s="1109">
        <f>SUMIF(修正!A45:A56,H64,修正!H45:H56)</f>
        <v>0</v>
      </c>
      <c r="J64" s="1113"/>
      <c r="K64" s="1146"/>
      <c r="L64" s="942"/>
      <c r="M64" s="942"/>
      <c r="N64" s="942"/>
      <c r="O64" s="942"/>
    </row>
    <row r="65" spans="1:17" s="692" customFormat="1" ht="15" thickBot="1">
      <c r="A65" s="693" t="s">
        <v>2761</v>
      </c>
      <c r="B65" s="262" t="e">
        <f t="shared" si="17"/>
        <v>#DIV/0!</v>
      </c>
      <c r="C65" s="200">
        <f t="shared" si="16"/>
        <v>0</v>
      </c>
      <c r="D65" s="1165">
        <v>0.25</v>
      </c>
      <c r="E65" s="261">
        <f>'数据-汇总表'!E15</f>
        <v>0</v>
      </c>
      <c r="F65" s="1104" t="e">
        <f t="shared" si="15"/>
        <v>#DIV/0!</v>
      </c>
      <c r="G65" s="2707" t="s">
        <v>2755</v>
      </c>
      <c r="H65" s="1115">
        <f>项目基本情况!C37</f>
        <v>0</v>
      </c>
      <c r="I65" s="1111">
        <f>SUMIF(修正!A45:A56,H65,修正!H45:H56)</f>
        <v>0</v>
      </c>
      <c r="J65" s="1114"/>
      <c r="K65" s="1145"/>
      <c r="L65" s="942"/>
      <c r="M65" s="942"/>
      <c r="N65" s="942"/>
      <c r="O65" s="942"/>
    </row>
    <row r="66" spans="1:17" s="692" customFormat="1" ht="13.5" thickBot="1">
      <c r="A66" s="695" t="s">
        <v>2762</v>
      </c>
      <c r="B66" s="696" t="s">
        <v>28</v>
      </c>
      <c r="C66" s="696" t="s">
        <v>29</v>
      </c>
      <c r="D66" s="696" t="s">
        <v>1028</v>
      </c>
      <c r="E66" s="696">
        <f>IF(B46="楼面地价",SUM(E56:E65),'数据-汇总表'!D3)</f>
        <v>2282.61</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2655</v>
      </c>
      <c r="B69" s="758"/>
      <c r="C69" s="763"/>
      <c r="D69" s="763"/>
      <c r="E69" s="763"/>
      <c r="F69" s="764"/>
      <c r="G69" s="764"/>
      <c r="H69" s="763"/>
      <c r="I69" s="763"/>
      <c r="J69" s="1160"/>
      <c r="K69" s="1161"/>
      <c r="L69" s="1162"/>
      <c r="M69" s="1160"/>
      <c r="N69" s="1160"/>
      <c r="O69" s="1160"/>
      <c r="P69" s="503"/>
      <c r="Q69" s="504"/>
    </row>
    <row r="70" spans="1:17" s="508" customFormat="1" ht="15">
      <c r="A70" s="2708" t="s">
        <v>2763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2566</v>
      </c>
      <c r="B72" s="516"/>
      <c r="C72" s="517"/>
      <c r="D72" s="518"/>
      <c r="E72" s="518"/>
      <c r="F72" s="518"/>
      <c r="G72" s="518"/>
      <c r="H72" s="518"/>
      <c r="I72" s="518"/>
      <c r="J72" s="518"/>
      <c r="K72" s="518"/>
      <c r="L72" s="518"/>
      <c r="M72" s="519"/>
      <c r="N72" s="518"/>
      <c r="O72" s="1163"/>
      <c r="P72" s="504"/>
      <c r="Q72" s="504"/>
    </row>
    <row r="73" spans="1:17" s="117" customFormat="1" ht="15">
      <c r="A73" s="521" t="s">
        <v>2531</v>
      </c>
      <c r="B73" s="510"/>
      <c r="C73" s="522" t="s">
        <v>2633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2569</v>
      </c>
      <c r="B75" s="528" t="s">
        <v>2535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2538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2540</v>
      </c>
      <c r="B88" s="528" t="s">
        <v>2577</v>
      </c>
      <c r="C88" s="573" t="s">
        <v>2578</v>
      </c>
      <c r="D88" s="573" t="s">
        <v>2579</v>
      </c>
      <c r="E88" s="573" t="s">
        <v>2580</v>
      </c>
      <c r="F88" s="573" t="s">
        <v>2581</v>
      </c>
      <c r="G88" s="573" t="s">
        <v>2582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2765</v>
      </c>
      <c r="C90" s="578" t="s">
        <v>2578</v>
      </c>
      <c r="D90" s="578" t="s">
        <v>2579</v>
      </c>
      <c r="E90" s="578" t="s">
        <v>2580</v>
      </c>
      <c r="F90" s="578" t="s">
        <v>2581</v>
      </c>
      <c r="G90" s="578" t="s">
        <v>2582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2678</v>
      </c>
      <c r="C92" s="578" t="s">
        <v>2578</v>
      </c>
      <c r="D92" s="578" t="s">
        <v>2579</v>
      </c>
      <c r="E92" s="578" t="s">
        <v>2580</v>
      </c>
      <c r="F92" s="578" t="s">
        <v>2581</v>
      </c>
      <c r="G92" s="578" t="s">
        <v>2582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2583</v>
      </c>
      <c r="C94" s="578" t="s">
        <v>2578</v>
      </c>
      <c r="D94" s="578" t="s">
        <v>2579</v>
      </c>
      <c r="E94" s="578" t="s">
        <v>2580</v>
      </c>
      <c r="F94" s="578" t="s">
        <v>2581</v>
      </c>
      <c r="G94" s="578" t="s">
        <v>2582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2766</v>
      </c>
      <c r="C96" s="578" t="s">
        <v>2578</v>
      </c>
      <c r="D96" s="578" t="s">
        <v>2579</v>
      </c>
      <c r="E96" s="578" t="s">
        <v>2580</v>
      </c>
      <c r="F96" s="578" t="s">
        <v>2581</v>
      </c>
      <c r="G96" s="578" t="s">
        <v>2582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2767</v>
      </c>
      <c r="C98" s="573" t="s">
        <v>2578</v>
      </c>
      <c r="D98" s="573" t="s">
        <v>2579</v>
      </c>
      <c r="E98" s="573" t="s">
        <v>2580</v>
      </c>
      <c r="F98" s="573" t="s">
        <v>2581</v>
      </c>
      <c r="G98" s="573" t="s">
        <v>2582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2635</v>
      </c>
      <c r="C100" s="573" t="s">
        <v>2578</v>
      </c>
      <c r="D100" s="573" t="s">
        <v>2579</v>
      </c>
      <c r="E100" s="573" t="s">
        <v>2580</v>
      </c>
      <c r="F100" s="573" t="s">
        <v>2581</v>
      </c>
      <c r="G100" s="573" t="s">
        <v>2582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2636</v>
      </c>
      <c r="C102" s="660" t="s">
        <v>2656</v>
      </c>
      <c r="D102" s="660" t="s">
        <v>2657</v>
      </c>
      <c r="E102" s="660" t="s">
        <v>2658</v>
      </c>
      <c r="F102" s="660" t="s">
        <v>2659</v>
      </c>
      <c r="G102" s="660" t="s">
        <v>2660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2768</v>
      </c>
      <c r="D104" s="539" t="s">
        <v>2769</v>
      </c>
      <c r="E104" s="539" t="s">
        <v>2770</v>
      </c>
      <c r="F104" s="539" t="s">
        <v>2771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2775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2776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2725</v>
      </c>
      <c r="B1" s="395"/>
      <c r="C1" s="396" t="s">
        <v>2777</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2308</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42" t="s">
        <v>2778</v>
      </c>
      <c r="D6" s="3243"/>
      <c r="E6" s="3307" t="s">
        <v>2778</v>
      </c>
      <c r="F6" s="3308"/>
      <c r="G6" s="3242" t="s">
        <v>2778</v>
      </c>
      <c r="H6" s="3243"/>
      <c r="I6" s="3242" t="s">
        <v>2778</v>
      </c>
      <c r="J6" s="3243"/>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0" si="3">D8/F8</f>
        <v>#DIV/0!</v>
      </c>
      <c r="AB8" s="772" t="e">
        <f t="shared" ref="AB8:AB40" si="4">D8/H8</f>
        <v>#DIV/0!</v>
      </c>
      <c r="AC8" s="772" t="e">
        <f t="shared" ref="AC8:AC40" si="5">D8/J8</f>
        <v>#DIV/0!</v>
      </c>
    </row>
    <row r="9" spans="1:29" s="117" customFormat="1">
      <c r="A9" s="415" t="s">
        <v>2534</v>
      </c>
      <c r="B9" s="71" t="s">
        <v>2535</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32"/>
      <c r="D10" s="136">
        <v>100</v>
      </c>
      <c r="E10" s="432"/>
      <c r="F10" s="136">
        <f>ROUND(100/'数据-取费表'!G16,0)</f>
        <v>130</v>
      </c>
      <c r="G10" s="432"/>
      <c r="H10" s="136">
        <f>ROUND(100/'数据-取费表'!G16,0)</f>
        <v>130</v>
      </c>
      <c r="I10" s="432"/>
      <c r="J10" s="136">
        <f>ROUND(100/'数据-取费表'!G16,0)</f>
        <v>130</v>
      </c>
      <c r="K10" s="672"/>
      <c r="L10" s="1136"/>
      <c r="M10" s="1137"/>
      <c r="N10" s="1137"/>
      <c r="O10" s="1138"/>
      <c r="P10" s="3207"/>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29" t="s">
        <v>2779</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4" t="s">
        <v>2541</v>
      </c>
      <c r="Q15" s="1812" t="str">
        <f t="shared" si="6"/>
        <v>产业集聚程度</v>
      </c>
      <c r="R15" s="773" t="s">
        <v>17</v>
      </c>
      <c r="S15" s="774">
        <f t="shared" si="0"/>
        <v>100</v>
      </c>
      <c r="T15" s="773" t="s">
        <v>17</v>
      </c>
      <c r="U15" s="774">
        <f t="shared" si="1"/>
        <v>100</v>
      </c>
      <c r="V15" s="773" t="s">
        <v>17</v>
      </c>
      <c r="W15" s="774">
        <f t="shared" si="2"/>
        <v>100</v>
      </c>
      <c r="X15" s="1815"/>
      <c r="Y15" s="3214" t="s">
        <v>2541</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631" t="s">
        <v>2690</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631" t="s">
        <v>2729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5"/>
      <c r="Q19" s="1812" t="str">
        <f t="shared" ref="Q19:Q33" si="8">B19</f>
        <v>区域土地利用方向</v>
      </c>
      <c r="R19" s="773" t="s">
        <v>17</v>
      </c>
      <c r="S19" s="774">
        <f>F19</f>
        <v>100</v>
      </c>
      <c r="T19" s="773" t="s">
        <v>17</v>
      </c>
      <c r="U19" s="774">
        <f>H19</f>
        <v>100</v>
      </c>
      <c r="V19" s="773" t="s">
        <v>17</v>
      </c>
      <c r="W19" s="774">
        <f>J19</f>
        <v>100</v>
      </c>
      <c r="X19" s="1815"/>
      <c r="Y19" s="3215"/>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15"/>
      <c r="Q20" s="1812"/>
      <c r="R20" s="773"/>
      <c r="S20" s="774"/>
      <c r="T20" s="773"/>
      <c r="U20" s="774"/>
      <c r="V20" s="773"/>
      <c r="W20" s="774"/>
      <c r="X20" s="1815"/>
      <c r="Y20" s="3215"/>
      <c r="Z20" s="1816"/>
      <c r="AA20" s="1813"/>
      <c r="AB20" s="1813"/>
      <c r="AC20" s="1813"/>
    </row>
    <row r="21" spans="1:29" ht="15">
      <c r="A21" s="404"/>
      <c r="B21" s="631" t="s">
        <v>2780</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5"/>
      <c r="Q21" s="1812" t="str">
        <f t="shared" si="8"/>
        <v>环境状况</v>
      </c>
      <c r="R21" s="773" t="s">
        <v>17</v>
      </c>
      <c r="S21" s="774">
        <f>F21</f>
        <v>100</v>
      </c>
      <c r="T21" s="773" t="s">
        <v>17</v>
      </c>
      <c r="U21" s="774">
        <f>H21</f>
        <v>100</v>
      </c>
      <c r="V21" s="773" t="s">
        <v>17</v>
      </c>
      <c r="W21" s="774">
        <f>J21</f>
        <v>100</v>
      </c>
      <c r="X21" s="1815"/>
      <c r="Y21" s="3215"/>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15"/>
      <c r="Q22" s="1812"/>
      <c r="R22" s="773"/>
      <c r="S22" s="774"/>
      <c r="T22" s="773"/>
      <c r="U22" s="774"/>
      <c r="V22" s="773"/>
      <c r="W22" s="774"/>
      <c r="X22" s="1815"/>
      <c r="Y22" s="3215"/>
      <c r="Z22" s="1816"/>
      <c r="AA22" s="1813">
        <v>1</v>
      </c>
      <c r="AB22" s="1813">
        <v>1</v>
      </c>
      <c r="AC22" s="1813">
        <v>1</v>
      </c>
    </row>
    <row r="23" spans="1:29" s="117" customFormat="1" ht="15">
      <c r="A23" s="649"/>
      <c r="B23" s="633" t="s">
        <v>2635</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5"/>
      <c r="Q23" s="1797" t="str">
        <f t="shared" si="8"/>
        <v>公共配套设施</v>
      </c>
      <c r="R23" s="769" t="s">
        <v>17</v>
      </c>
      <c r="S23" s="770">
        <f>F23</f>
        <v>100</v>
      </c>
      <c r="T23" s="769" t="s">
        <v>17</v>
      </c>
      <c r="U23" s="770">
        <f>H23</f>
        <v>100</v>
      </c>
      <c r="V23" s="769" t="s">
        <v>17</v>
      </c>
      <c r="W23" s="770">
        <f>J23</f>
        <v>100</v>
      </c>
      <c r="X23" s="771"/>
      <c r="Y23" s="3215"/>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15"/>
      <c r="Q24" s="1797"/>
      <c r="R24" s="769"/>
      <c r="S24" s="770"/>
      <c r="T24" s="769"/>
      <c r="U24" s="770"/>
      <c r="V24" s="769"/>
      <c r="W24" s="770"/>
      <c r="X24" s="771"/>
      <c r="Y24" s="3215"/>
      <c r="Z24" s="55"/>
      <c r="AA24" s="772">
        <v>1</v>
      </c>
      <c r="AB24" s="772">
        <v>1</v>
      </c>
      <c r="AC24" s="772">
        <v>1</v>
      </c>
    </row>
    <row r="25" spans="1:29" s="117" customFormat="1" ht="15">
      <c r="A25" s="649"/>
      <c r="B25" s="633" t="s">
        <v>2636</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5"/>
      <c r="Q25" s="1797" t="str">
        <f t="shared" ref="Q25" si="9">B25</f>
        <v>基础设施水平</v>
      </c>
      <c r="R25" s="769" t="s">
        <v>17</v>
      </c>
      <c r="S25" s="770">
        <f>F25</f>
        <v>100</v>
      </c>
      <c r="T25" s="769" t="s">
        <v>17</v>
      </c>
      <c r="U25" s="770">
        <f>H25</f>
        <v>100</v>
      </c>
      <c r="V25" s="769" t="s">
        <v>17</v>
      </c>
      <c r="W25" s="770">
        <f>J25</f>
        <v>100</v>
      </c>
      <c r="X25" s="771"/>
      <c r="Y25" s="3215"/>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15"/>
      <c r="Q26" s="1797"/>
      <c r="R26" s="769"/>
      <c r="S26" s="770"/>
      <c r="T26" s="769"/>
      <c r="U26" s="770"/>
      <c r="V26" s="769"/>
      <c r="W26" s="770"/>
      <c r="X26" s="771"/>
      <c r="Y26" s="3215"/>
      <c r="Z26" s="55"/>
      <c r="AA26" s="772">
        <v>1</v>
      </c>
      <c r="AB26" s="772">
        <v>1</v>
      </c>
      <c r="AC26" s="772">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5"/>
      <c r="Z27" s="1816" t="str">
        <f t="shared" ref="Z27:Z40" si="13">Q27</f>
        <v>临街状况</v>
      </c>
      <c r="AA27" s="1813">
        <f t="shared" si="3"/>
        <v>1</v>
      </c>
      <c r="AB27" s="1813">
        <f t="shared" si="4"/>
        <v>1</v>
      </c>
      <c r="AC27" s="1813">
        <f t="shared" si="5"/>
        <v>1</v>
      </c>
    </row>
    <row r="28" spans="1:29" ht="27">
      <c r="A28" s="428"/>
      <c r="B28" s="633" t="s">
        <v>2672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5"/>
      <c r="Q28" s="1812" t="str">
        <f t="shared" si="8"/>
        <v>毗邻道路的类型与等级</v>
      </c>
      <c r="R28" s="773" t="s">
        <v>17</v>
      </c>
      <c r="S28" s="774">
        <f t="shared" si="10"/>
        <v>100</v>
      </c>
      <c r="T28" s="773" t="s">
        <v>17</v>
      </c>
      <c r="U28" s="774">
        <f t="shared" si="11"/>
        <v>100</v>
      </c>
      <c r="V28" s="773" t="s">
        <v>17</v>
      </c>
      <c r="W28" s="774">
        <f t="shared" si="12"/>
        <v>100</v>
      </c>
      <c r="X28" s="1815"/>
      <c r="Y28" s="3215"/>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15"/>
      <c r="Q29" s="1812"/>
      <c r="R29" s="773"/>
      <c r="S29" s="774"/>
      <c r="T29" s="773"/>
      <c r="U29" s="774"/>
      <c r="V29" s="773"/>
      <c r="W29" s="774"/>
      <c r="X29" s="1815"/>
      <c r="Y29" s="3215"/>
      <c r="Z29" s="1816"/>
      <c r="AA29" s="1813">
        <v>1</v>
      </c>
      <c r="AB29" s="1813">
        <v>1</v>
      </c>
      <c r="AC29" s="1813">
        <v>1</v>
      </c>
    </row>
    <row r="30" spans="1:29" ht="15">
      <c r="A30" s="428"/>
      <c r="B30" s="654" t="s">
        <v>2731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5"/>
      <c r="Q30" s="1812" t="str">
        <f t="shared" si="8"/>
        <v>土地级别</v>
      </c>
      <c r="R30" s="773" t="s">
        <v>17</v>
      </c>
      <c r="S30" s="774">
        <f t="shared" si="10"/>
        <v>100</v>
      </c>
      <c r="T30" s="773" t="s">
        <v>17</v>
      </c>
      <c r="U30" s="774">
        <f t="shared" si="11"/>
        <v>100</v>
      </c>
      <c r="V30" s="773" t="s">
        <v>17</v>
      </c>
      <c r="W30" s="774">
        <f t="shared" si="12"/>
        <v>100</v>
      </c>
      <c r="X30" s="1815"/>
      <c r="Y30" s="3215"/>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5"/>
      <c r="Q31" s="1812">
        <f t="shared" si="8"/>
        <v>111</v>
      </c>
      <c r="R31" s="773" t="s">
        <v>17</v>
      </c>
      <c r="S31" s="774">
        <f t="shared" si="10"/>
        <v>100</v>
      </c>
      <c r="T31" s="773" t="s">
        <v>17</v>
      </c>
      <c r="U31" s="774">
        <f t="shared" si="11"/>
        <v>100</v>
      </c>
      <c r="V31" s="773" t="s">
        <v>17</v>
      </c>
      <c r="W31" s="774">
        <f t="shared" si="12"/>
        <v>100</v>
      </c>
      <c r="X31" s="1815"/>
      <c r="Y31" s="3215"/>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9" t="s">
        <v>2546</v>
      </c>
      <c r="Q32" s="1812">
        <f t="shared" si="8"/>
        <v>111</v>
      </c>
      <c r="R32" s="773" t="s">
        <v>17</v>
      </c>
      <c r="S32" s="774">
        <f t="shared" si="10"/>
        <v>100</v>
      </c>
      <c r="T32" s="773" t="s">
        <v>17</v>
      </c>
      <c r="U32" s="774">
        <f t="shared" si="11"/>
        <v>100</v>
      </c>
      <c r="V32" s="773" t="s">
        <v>17</v>
      </c>
      <c r="W32" s="774">
        <f t="shared" si="12"/>
        <v>100</v>
      </c>
      <c r="X32" s="1815"/>
      <c r="Y32" s="3219" t="s">
        <v>2546</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9"/>
      <c r="Q33" s="1812">
        <f t="shared" si="8"/>
        <v>111</v>
      </c>
      <c r="R33" s="776" t="s">
        <v>17</v>
      </c>
      <c r="S33" s="777">
        <f t="shared" si="10"/>
        <v>100</v>
      </c>
      <c r="T33" s="776" t="s">
        <v>17</v>
      </c>
      <c r="U33" s="777">
        <f t="shared" si="11"/>
        <v>100</v>
      </c>
      <c r="V33" s="776" t="s">
        <v>17</v>
      </c>
      <c r="W33" s="777">
        <f t="shared" si="12"/>
        <v>100</v>
      </c>
      <c r="X33" s="778"/>
      <c r="Y33" s="3219"/>
      <c r="Z33" s="779">
        <f t="shared" si="13"/>
        <v>111</v>
      </c>
      <c r="AA33" s="1813">
        <f t="shared" si="3"/>
        <v>1</v>
      </c>
      <c r="AB33" s="1813">
        <f t="shared" si="4"/>
        <v>1</v>
      </c>
      <c r="AC33" s="1813">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9"/>
      <c r="Q34" s="1812" t="str">
        <f>B34</f>
        <v>宗地面积</v>
      </c>
      <c r="R34" s="773" t="s">
        <v>17</v>
      </c>
      <c r="S34" s="774" t="e">
        <f t="shared" si="10"/>
        <v>#N/A</v>
      </c>
      <c r="T34" s="773" t="s">
        <v>17</v>
      </c>
      <c r="U34" s="774" t="e">
        <f t="shared" si="11"/>
        <v>#N/A</v>
      </c>
      <c r="V34" s="773" t="s">
        <v>17</v>
      </c>
      <c r="W34" s="774" t="e">
        <f t="shared" si="12"/>
        <v>#N/A</v>
      </c>
      <c r="X34" s="1815"/>
      <c r="Y34" s="3219"/>
      <c r="Z34" s="1816" t="str">
        <f t="shared" si="13"/>
        <v>宗地面积</v>
      </c>
      <c r="AA34" s="1813" t="e">
        <f t="shared" si="3"/>
        <v>#N/A</v>
      </c>
      <c r="AB34" s="1813" t="e">
        <f t="shared" si="4"/>
        <v>#N/A</v>
      </c>
      <c r="AC34" s="1813" t="e">
        <f t="shared" si="5"/>
        <v>#N/A</v>
      </c>
    </row>
    <row r="35" spans="1:29" ht="15">
      <c r="A35" s="472"/>
      <c r="B35" s="422" t="s">
        <v>2733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19"/>
      <c r="Q35" s="1812" t="str">
        <f t="shared" ref="Q35:Q40" si="14">B35</f>
        <v>宗地形状</v>
      </c>
      <c r="R35" s="773" t="s">
        <v>17</v>
      </c>
      <c r="S35" s="774">
        <f t="shared" si="10"/>
        <v>100</v>
      </c>
      <c r="T35" s="773" t="s">
        <v>17</v>
      </c>
      <c r="U35" s="774">
        <f t="shared" si="11"/>
        <v>100</v>
      </c>
      <c r="V35" s="773" t="s">
        <v>17</v>
      </c>
      <c r="W35" s="774">
        <f t="shared" si="12"/>
        <v>100</v>
      </c>
      <c r="X35" s="1815"/>
      <c r="Y35" s="3219"/>
      <c r="Z35" s="1816" t="str">
        <f t="shared" si="13"/>
        <v>宗地形状</v>
      </c>
      <c r="AA35" s="1813">
        <f t="shared" si="3"/>
        <v>1</v>
      </c>
      <c r="AB35" s="1813">
        <f t="shared" si="4"/>
        <v>1</v>
      </c>
      <c r="AC35" s="1813">
        <f t="shared" si="5"/>
        <v>1</v>
      </c>
    </row>
    <row r="36" spans="1:29" s="117" customFormat="1" ht="15">
      <c r="A36" s="473"/>
      <c r="B36" s="422" t="s">
        <v>2735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19"/>
      <c r="Q36" s="1812" t="str">
        <f t="shared" si="14"/>
        <v>宗地开发程度</v>
      </c>
      <c r="R36" s="769" t="s">
        <v>17</v>
      </c>
      <c r="S36" s="770">
        <f t="shared" si="10"/>
        <v>100</v>
      </c>
      <c r="T36" s="769" t="s">
        <v>17</v>
      </c>
      <c r="U36" s="770">
        <f t="shared" si="11"/>
        <v>100</v>
      </c>
      <c r="V36" s="769" t="s">
        <v>17</v>
      </c>
      <c r="W36" s="770">
        <f t="shared" si="12"/>
        <v>100</v>
      </c>
      <c r="X36" s="771"/>
      <c r="Y36" s="3219"/>
      <c r="Z36" s="55" t="str">
        <f t="shared" si="13"/>
        <v>宗地开发程度</v>
      </c>
      <c r="AA36" s="772">
        <f t="shared" si="3"/>
        <v>1</v>
      </c>
      <c r="AB36" s="772">
        <f t="shared" si="4"/>
        <v>1</v>
      </c>
      <c r="AC36" s="772">
        <f t="shared" si="5"/>
        <v>1</v>
      </c>
    </row>
    <row r="37" spans="1:29" ht="15">
      <c r="A37" s="472"/>
      <c r="B37" s="422" t="s">
        <v>2736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19" t="s">
        <v>2546</v>
      </c>
      <c r="Q37" s="1812" t="str">
        <f t="shared" si="14"/>
        <v>工程地质条件</v>
      </c>
      <c r="R37" s="773" t="s">
        <v>17</v>
      </c>
      <c r="S37" s="774">
        <f t="shared" si="10"/>
        <v>100</v>
      </c>
      <c r="T37" s="773" t="s">
        <v>17</v>
      </c>
      <c r="U37" s="774">
        <f t="shared" si="11"/>
        <v>100</v>
      </c>
      <c r="V37" s="773" t="s">
        <v>17</v>
      </c>
      <c r="W37" s="774">
        <f t="shared" si="12"/>
        <v>100</v>
      </c>
      <c r="X37" s="1815"/>
      <c r="Y37" s="3219" t="s">
        <v>2546</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9"/>
      <c r="Q38" s="1812">
        <f t="shared" si="14"/>
        <v>111</v>
      </c>
      <c r="R38" s="773" t="s">
        <v>17</v>
      </c>
      <c r="S38" s="774">
        <f t="shared" si="10"/>
        <v>100</v>
      </c>
      <c r="T38" s="773" t="s">
        <v>17</v>
      </c>
      <c r="U38" s="774">
        <f t="shared" si="11"/>
        <v>100</v>
      </c>
      <c r="V38" s="773" t="s">
        <v>17</v>
      </c>
      <c r="W38" s="774">
        <f t="shared" si="12"/>
        <v>100</v>
      </c>
      <c r="X38" s="1815"/>
      <c r="Y38" s="3219"/>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9"/>
      <c r="Q39" s="1812">
        <f t="shared" si="14"/>
        <v>111</v>
      </c>
      <c r="R39" s="773" t="s">
        <v>17</v>
      </c>
      <c r="S39" s="774">
        <f t="shared" si="10"/>
        <v>100</v>
      </c>
      <c r="T39" s="773" t="s">
        <v>17</v>
      </c>
      <c r="U39" s="774">
        <f t="shared" si="11"/>
        <v>100</v>
      </c>
      <c r="V39" s="773" t="s">
        <v>17</v>
      </c>
      <c r="W39" s="774">
        <f t="shared" si="12"/>
        <v>100</v>
      </c>
      <c r="X39" s="1815"/>
      <c r="Y39" s="3219"/>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9"/>
      <c r="Q40" s="1812">
        <f t="shared" si="14"/>
        <v>111</v>
      </c>
      <c r="R40" s="776" t="s">
        <v>17</v>
      </c>
      <c r="S40" s="777">
        <f t="shared" si="10"/>
        <v>100</v>
      </c>
      <c r="T40" s="776" t="s">
        <v>17</v>
      </c>
      <c r="U40" s="777">
        <f t="shared" si="11"/>
        <v>100</v>
      </c>
      <c r="V40" s="776" t="s">
        <v>17</v>
      </c>
      <c r="W40" s="777">
        <f t="shared" si="12"/>
        <v>100</v>
      </c>
      <c r="X40" s="778"/>
      <c r="Y40" s="3219"/>
      <c r="Z40" s="779">
        <f t="shared" si="13"/>
        <v>111</v>
      </c>
      <c r="AA40" s="1813">
        <f t="shared" si="3"/>
        <v>1</v>
      </c>
      <c r="AB40" s="1813">
        <f t="shared" si="4"/>
        <v>1</v>
      </c>
      <c r="AC40" s="1813">
        <f t="shared" si="5"/>
        <v>1</v>
      </c>
    </row>
    <row r="41" spans="1:29" ht="15">
      <c r="A41" s="479" t="s">
        <v>2701</v>
      </c>
      <c r="B41" s="2701" t="s">
        <v>2781</v>
      </c>
      <c r="C41" s="682" t="s">
        <v>1</v>
      </c>
      <c r="D41" s="481"/>
      <c r="E41" s="482"/>
      <c r="F41" s="483"/>
      <c r="G41" s="484"/>
      <c r="H41" s="485"/>
      <c r="I41" s="482"/>
      <c r="J41" s="485"/>
      <c r="K41" s="782"/>
      <c r="L41" s="1144"/>
      <c r="M41" s="1132"/>
      <c r="N41" s="1132"/>
      <c r="O41" s="1145"/>
      <c r="P41" s="3207" t="str">
        <f>A41</f>
        <v>成交单价</v>
      </c>
      <c r="Q41" s="3207"/>
      <c r="R41" s="3241">
        <f>E41</f>
        <v>0</v>
      </c>
      <c r="S41" s="3241"/>
      <c r="T41" s="3241">
        <f>G41</f>
        <v>0</v>
      </c>
      <c r="U41" s="3241"/>
      <c r="V41" s="3241">
        <f>I41</f>
        <v>0</v>
      </c>
      <c r="W41" s="3241"/>
      <c r="X41" s="758"/>
      <c r="Y41" s="780"/>
      <c r="Z41" s="758"/>
      <c r="AA41" s="758"/>
      <c r="AB41" s="758"/>
      <c r="AC41" s="758"/>
    </row>
    <row r="42" spans="1:29" ht="15.75" thickBot="1">
      <c r="A42" s="486" t="s">
        <v>2650</v>
      </c>
      <c r="B42" s="683"/>
      <c r="C42" s="490" t="e">
        <f>R43</f>
        <v>#DIV/0!</v>
      </c>
      <c r="D42" s="489"/>
      <c r="E42" s="490" t="e">
        <f>R42</f>
        <v>#DIV/0!</v>
      </c>
      <c r="F42" s="491"/>
      <c r="G42" s="488" t="e">
        <f>T42</f>
        <v>#DIV/0!</v>
      </c>
      <c r="H42" s="489"/>
      <c r="I42" s="490" t="e">
        <f>V42</f>
        <v>#DIV/0!</v>
      </c>
      <c r="J42" s="489"/>
      <c r="K42" s="783"/>
      <c r="L42" s="1144"/>
      <c r="M42" s="1132"/>
      <c r="N42" s="1132"/>
      <c r="O42" s="1145"/>
      <c r="P42" s="3207" t="str">
        <f>A42</f>
        <v>比较价值（元/平方米）</v>
      </c>
      <c r="Q42" s="3207"/>
      <c r="R42" s="3310" t="e">
        <f>ROUND(PRODUCT(R41,AA7:AA40),0)</f>
        <v>#DIV/0!</v>
      </c>
      <c r="S42" s="3310"/>
      <c r="T42" s="3310" t="e">
        <f>ROUND(PRODUCT(T41,AB7:AB40),0)</f>
        <v>#DIV/0!</v>
      </c>
      <c r="U42" s="3310"/>
      <c r="V42" s="3310" t="e">
        <f>ROUND(PRODUCT(V41,AC7:AC40),0)</f>
        <v>#DIV/0!</v>
      </c>
      <c r="W42" s="3310"/>
      <c r="X42" s="758"/>
      <c r="Y42" s="758"/>
      <c r="Z42" s="758"/>
      <c r="AA42" s="758"/>
      <c r="AB42" s="758"/>
      <c r="AC42" s="758"/>
    </row>
    <row r="43" spans="1:29" ht="15.75" thickBot="1">
      <c r="A43" s="492" t="s">
        <v>2651</v>
      </c>
      <c r="B43" s="493"/>
      <c r="C43" s="494" t="e">
        <f>R43</f>
        <v>#DIV/0!</v>
      </c>
      <c r="D43" s="494"/>
      <c r="E43" s="494"/>
      <c r="F43" s="494"/>
      <c r="G43" s="494"/>
      <c r="H43" s="494"/>
      <c r="I43" s="494"/>
      <c r="J43" s="494"/>
      <c r="K43" s="784"/>
      <c r="L43" s="1144"/>
      <c r="M43" s="1132"/>
      <c r="N43" s="1132"/>
      <c r="O43" s="1145"/>
      <c r="P43" s="3267" t="str">
        <f>A43</f>
        <v>估价对象XX用房的比较价值（楼面单价，元/平方米）</v>
      </c>
      <c r="Q43" s="3268"/>
      <c r="R43" s="3311" t="e">
        <f>ROUND(AVERAGE(R42:V42),0)</f>
        <v>#DIV/0!</v>
      </c>
      <c r="S43" s="3311"/>
      <c r="T43" s="3311"/>
      <c r="U43" s="3311"/>
      <c r="V43" s="3311"/>
      <c r="W43" s="331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2739</v>
      </c>
      <c r="B50" s="685" t="s">
        <v>2740</v>
      </c>
      <c r="C50" s="2702" t="s">
        <v>2741</v>
      </c>
      <c r="D50" s="2703" t="s">
        <v>2742</v>
      </c>
      <c r="E50" s="686" t="s">
        <v>2743</v>
      </c>
      <c r="F50" s="687" t="s">
        <v>2744</v>
      </c>
      <c r="G50" s="3224" t="s">
        <v>2745</v>
      </c>
      <c r="H50" s="3312"/>
      <c r="I50" s="1816" t="s">
        <v>2782</v>
      </c>
      <c r="J50" s="1816" t="str">
        <f>项目基本情况!F35</f>
        <v>新疆维吾尔自治区</v>
      </c>
      <c r="K50" s="2705" t="s">
        <v>2747</v>
      </c>
      <c r="L50" s="1107"/>
      <c r="M50" s="1145"/>
      <c r="N50" s="1145"/>
      <c r="O50" s="1145"/>
    </row>
    <row r="51" spans="1:17" s="692" customFormat="1">
      <c r="A51" s="688" t="s">
        <v>2748</v>
      </c>
      <c r="B51" s="689" t="e">
        <f>C43</f>
        <v>#DIV/0!</v>
      </c>
      <c r="C51" s="690">
        <v>1</v>
      </c>
      <c r="D51" s="1164">
        <v>1</v>
      </c>
      <c r="E51" s="690">
        <f>'数据-汇总表'!E8+'数据-汇总表'!E9</f>
        <v>2282.61</v>
      </c>
      <c r="F51" s="691" t="e">
        <f t="shared" ref="F51:F60" si="15">ROUND(B51*E51/10000,0)</f>
        <v>#DIV/0!</v>
      </c>
      <c r="G51" s="3206"/>
      <c r="H51" s="3207"/>
      <c r="I51" s="943">
        <v>1</v>
      </c>
      <c r="J51" s="943">
        <v>1</v>
      </c>
      <c r="K51" s="1146"/>
      <c r="L51" s="942"/>
      <c r="M51" s="942"/>
      <c r="N51" s="942"/>
      <c r="O51" s="942"/>
    </row>
    <row r="52" spans="1:17" s="692" customFormat="1">
      <c r="A52" s="693" t="s">
        <v>2749</v>
      </c>
      <c r="B52" s="262" t="e">
        <f>ROUND($C$43*C52*D52,0)</f>
        <v>#DIV/0!</v>
      </c>
      <c r="C52" s="200">
        <f t="shared" ref="C52:C60" si="16">IF($C$50="北京市系数",I52,J52)</f>
        <v>0</v>
      </c>
      <c r="D52" s="1165">
        <v>0.25</v>
      </c>
      <c r="E52" s="694"/>
      <c r="F52" s="691" t="e">
        <f t="shared" si="15"/>
        <v>#DIV/0!</v>
      </c>
      <c r="G52" s="3313" t="s">
        <v>2750</v>
      </c>
      <c r="H52" s="1105">
        <f>项目基本情况!B37</f>
        <v>0</v>
      </c>
      <c r="I52" s="943">
        <f>SUMIF(修正!A45:A56,H52,修正!B45:B56)</f>
        <v>0</v>
      </c>
      <c r="J52" s="944"/>
      <c r="K52" s="1145"/>
      <c r="L52" s="942"/>
      <c r="M52" s="942"/>
      <c r="N52" s="942"/>
      <c r="O52" s="942"/>
    </row>
    <row r="53" spans="1:17" s="692" customFormat="1">
      <c r="A53" s="693" t="s">
        <v>2751</v>
      </c>
      <c r="B53" s="262" t="e">
        <f t="shared" ref="B53:B60" si="17">ROUND($C$43*C53*D53,0)</f>
        <v>#DIV/0!</v>
      </c>
      <c r="C53" s="200">
        <f t="shared" si="16"/>
        <v>0</v>
      </c>
      <c r="D53" s="1165">
        <v>0.25</v>
      </c>
      <c r="E53" s="694"/>
      <c r="F53" s="691" t="e">
        <f t="shared" si="15"/>
        <v>#DIV/0!</v>
      </c>
      <c r="G53" s="3313"/>
      <c r="H53" s="1105">
        <f>项目基本情况!B37</f>
        <v>0</v>
      </c>
      <c r="I53" s="943">
        <f>SUMIF(修正!A45:A56,H53,修正!C45:C56)</f>
        <v>0</v>
      </c>
      <c r="J53" s="944"/>
      <c r="K53" s="1146"/>
      <c r="L53" s="942"/>
      <c r="M53" s="942"/>
      <c r="N53" s="942"/>
      <c r="O53" s="942"/>
    </row>
    <row r="54" spans="1:17" s="692" customFormat="1">
      <c r="A54" s="693" t="s">
        <v>2752</v>
      </c>
      <c r="B54" s="262" t="e">
        <f t="shared" si="17"/>
        <v>#DIV/0!</v>
      </c>
      <c r="C54" s="200">
        <f t="shared" si="16"/>
        <v>0</v>
      </c>
      <c r="D54" s="1165">
        <v>0.25</v>
      </c>
      <c r="E54" s="694"/>
      <c r="F54" s="691" t="e">
        <f t="shared" si="15"/>
        <v>#DIV/0!</v>
      </c>
      <c r="G54" s="3313"/>
      <c r="H54" s="1105">
        <f>项目基本情况!B37</f>
        <v>0</v>
      </c>
      <c r="I54" s="943">
        <f>SUMIF(修正!A45:A56,H54,修正!D45:D56)</f>
        <v>0</v>
      </c>
      <c r="J54" s="944"/>
      <c r="K54" s="1145"/>
      <c r="L54" s="942"/>
      <c r="M54" s="942"/>
      <c r="N54" s="942"/>
      <c r="O54" s="942"/>
    </row>
    <row r="55" spans="1:17" s="692" customFormat="1">
      <c r="A55" s="693" t="s">
        <v>2753</v>
      </c>
      <c r="B55" s="262" t="e">
        <f t="shared" si="17"/>
        <v>#DIV/0!</v>
      </c>
      <c r="C55" s="200">
        <f t="shared" si="16"/>
        <v>0</v>
      </c>
      <c r="D55" s="1165">
        <v>0.25</v>
      </c>
      <c r="E55" s="694"/>
      <c r="F55" s="691" t="e">
        <f t="shared" si="15"/>
        <v>#DIV/0!</v>
      </c>
      <c r="G55" s="3313"/>
      <c r="H55" s="1105">
        <f>项目基本情况!B37</f>
        <v>0</v>
      </c>
      <c r="I55" s="943">
        <f>SUMIF(修正!A45:A56,H55,修正!E45:E56)</f>
        <v>0</v>
      </c>
      <c r="J55" s="944"/>
      <c r="K55" s="1146"/>
      <c r="L55" s="942"/>
      <c r="M55" s="942"/>
      <c r="N55" s="942"/>
      <c r="O55" s="942"/>
    </row>
    <row r="56" spans="1:17" s="692" customFormat="1">
      <c r="A56" s="693" t="s">
        <v>2754</v>
      </c>
      <c r="B56" s="262" t="e">
        <f t="shared" si="17"/>
        <v>#DIV/0!</v>
      </c>
      <c r="C56" s="200">
        <f t="shared" si="16"/>
        <v>0</v>
      </c>
      <c r="D56" s="1165">
        <v>0.25</v>
      </c>
      <c r="E56" s="261">
        <f>'数据-汇总表'!E11</f>
        <v>0</v>
      </c>
      <c r="F56" s="691" t="e">
        <f t="shared" si="15"/>
        <v>#DIV/0!</v>
      </c>
      <c r="G56" s="2706" t="s">
        <v>2755</v>
      </c>
      <c r="H56" s="1105">
        <f>项目基本情况!C37</f>
        <v>0</v>
      </c>
      <c r="I56" s="943">
        <f>SUMIF(修正!A45:A56,H56,修正!F45:F56)</f>
        <v>0</v>
      </c>
      <c r="J56" s="944"/>
      <c r="K56" s="1145"/>
      <c r="L56" s="942"/>
      <c r="M56" s="942"/>
      <c r="N56" s="942"/>
      <c r="O56" s="942"/>
    </row>
    <row r="57" spans="1:17" s="692" customFormat="1">
      <c r="A57" s="693" t="s">
        <v>2756</v>
      </c>
      <c r="B57" s="262" t="e">
        <f t="shared" si="17"/>
        <v>#DIV/0!</v>
      </c>
      <c r="C57" s="200">
        <f t="shared" si="16"/>
        <v>0</v>
      </c>
      <c r="D57" s="1165">
        <v>0.25</v>
      </c>
      <c r="E57" s="261">
        <f>'数据-汇总表'!E12</f>
        <v>0</v>
      </c>
      <c r="F57" s="691" t="e">
        <f t="shared" si="15"/>
        <v>#DIV/0!</v>
      </c>
      <c r="G57" s="1110" t="s">
        <v>2757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2758</v>
      </c>
      <c r="B58" s="262" t="e">
        <f t="shared" si="17"/>
        <v>#DIV/0!</v>
      </c>
      <c r="C58" s="200">
        <f t="shared" si="16"/>
        <v>0</v>
      </c>
      <c r="D58" s="1165">
        <v>0.25</v>
      </c>
      <c r="E58" s="261">
        <f>'数据-汇总表'!E13</f>
        <v>0</v>
      </c>
      <c r="F58" s="691" t="e">
        <f t="shared" si="15"/>
        <v>#DIV/0!</v>
      </c>
      <c r="G58" s="1110" t="s">
        <v>2759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2760</v>
      </c>
      <c r="B59" s="262" t="e">
        <f t="shared" si="17"/>
        <v>#DIV/0!</v>
      </c>
      <c r="C59" s="200">
        <f t="shared" si="16"/>
        <v>0</v>
      </c>
      <c r="D59" s="1165">
        <v>0.25</v>
      </c>
      <c r="E59" s="261">
        <f>'数据-汇总表'!E14</f>
        <v>0</v>
      </c>
      <c r="F59" s="691" t="e">
        <f t="shared" si="15"/>
        <v>#DIV/0!</v>
      </c>
      <c r="G59" s="2706" t="s">
        <v>2750</v>
      </c>
      <c r="H59" s="1105">
        <f>项目基本情况!B37</f>
        <v>0</v>
      </c>
      <c r="I59" s="943">
        <f>SUMIF(修正!A45:A56,H59,修正!H45:H56)</f>
        <v>0</v>
      </c>
      <c r="J59" s="944"/>
      <c r="K59" s="1146"/>
      <c r="L59" s="942"/>
      <c r="M59" s="942"/>
      <c r="N59" s="942"/>
      <c r="O59" s="942"/>
    </row>
    <row r="60" spans="1:17" s="692" customFormat="1" ht="15" thickBot="1">
      <c r="A60" s="693" t="s">
        <v>2761</v>
      </c>
      <c r="B60" s="262" t="e">
        <f t="shared" si="17"/>
        <v>#DIV/0!</v>
      </c>
      <c r="C60" s="200">
        <f t="shared" si="16"/>
        <v>0</v>
      </c>
      <c r="D60" s="1165">
        <v>0.25</v>
      </c>
      <c r="E60" s="261">
        <f>'数据-汇总表'!E15</f>
        <v>0</v>
      </c>
      <c r="F60" s="691" t="e">
        <f t="shared" si="15"/>
        <v>#DIV/0!</v>
      </c>
      <c r="G60" s="2707" t="s">
        <v>2755</v>
      </c>
      <c r="H60" s="1115">
        <f>项目基本情况!C37</f>
        <v>0</v>
      </c>
      <c r="I60" s="943">
        <f>SUMIF(修正!A45:A56,H60,修正!H45:H56)</f>
        <v>0</v>
      </c>
      <c r="J60" s="944"/>
      <c r="K60" s="1145"/>
      <c r="L60" s="942"/>
      <c r="M60" s="942"/>
      <c r="N60" s="942"/>
      <c r="O60" s="942"/>
    </row>
    <row r="61" spans="1:17" s="692" customFormat="1" ht="15" thickBot="1">
      <c r="A61" s="695" t="s">
        <v>2762</v>
      </c>
      <c r="B61" s="696" t="s">
        <v>28</v>
      </c>
      <c r="C61" s="696" t="s">
        <v>29</v>
      </c>
      <c r="D61" s="696" t="s">
        <v>1028</v>
      </c>
      <c r="E61" s="696">
        <f>IF(B41="楼面地价",SUM(E51:E60),'数据-汇总表'!D3)</f>
        <v>602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2655</v>
      </c>
      <c r="B64" s="758"/>
      <c r="C64" s="763"/>
      <c r="D64" s="763"/>
      <c r="E64" s="763"/>
      <c r="F64" s="764"/>
      <c r="G64" s="764"/>
      <c r="H64" s="763"/>
      <c r="I64" s="763"/>
      <c r="J64" s="763"/>
      <c r="K64" s="765"/>
      <c r="L64" s="766"/>
      <c r="M64" s="763"/>
      <c r="N64" s="763"/>
      <c r="O64" s="1160"/>
      <c r="P64" s="503"/>
      <c r="Q64" s="504"/>
    </row>
    <row r="65" spans="1:17" s="508" customFormat="1" ht="15">
      <c r="A65" s="2708" t="s">
        <v>2763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2783</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2569</v>
      </c>
      <c r="B70" s="528" t="s">
        <v>2535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2538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2540</v>
      </c>
      <c r="B83" s="528" t="s">
        <v>2686</v>
      </c>
      <c r="C83" s="573" t="s">
        <v>2578</v>
      </c>
      <c r="D83" s="573" t="s">
        <v>2579</v>
      </c>
      <c r="E83" s="573" t="s">
        <v>2580</v>
      </c>
      <c r="F83" s="573" t="s">
        <v>2581</v>
      </c>
      <c r="G83" s="573" t="s">
        <v>2582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2583</v>
      </c>
      <c r="C85" s="578" t="s">
        <v>2578</v>
      </c>
      <c r="D85" s="578" t="s">
        <v>2579</v>
      </c>
      <c r="E85" s="578" t="s">
        <v>2580</v>
      </c>
      <c r="F85" s="578" t="s">
        <v>2581</v>
      </c>
      <c r="G85" s="578" t="s">
        <v>2582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2766</v>
      </c>
      <c r="C87" s="573" t="s">
        <v>2578</v>
      </c>
      <c r="D87" s="573" t="s">
        <v>2579</v>
      </c>
      <c r="E87" s="573" t="s">
        <v>2580</v>
      </c>
      <c r="F87" s="573" t="s">
        <v>2581</v>
      </c>
      <c r="G87" s="573" t="s">
        <v>2582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2767</v>
      </c>
      <c r="C89" s="573" t="s">
        <v>2578</v>
      </c>
      <c r="D89" s="573" t="s">
        <v>2579</v>
      </c>
      <c r="E89" s="573" t="s">
        <v>2580</v>
      </c>
      <c r="F89" s="573" t="s">
        <v>2581</v>
      </c>
      <c r="G89" s="573" t="s">
        <v>2582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2635</v>
      </c>
      <c r="C91" s="573" t="s">
        <v>2578</v>
      </c>
      <c r="D91" s="573" t="s">
        <v>2579</v>
      </c>
      <c r="E91" s="573" t="s">
        <v>2580</v>
      </c>
      <c r="F91" s="573" t="s">
        <v>2581</v>
      </c>
      <c r="G91" s="573" t="s">
        <v>2582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2784</v>
      </c>
      <c r="C93" s="660" t="s">
        <v>2656</v>
      </c>
      <c r="D93" s="660" t="s">
        <v>2657</v>
      </c>
      <c r="E93" s="660" t="s">
        <v>2658</v>
      </c>
      <c r="F93" s="660" t="s">
        <v>2659</v>
      </c>
      <c r="G93" s="660" t="s">
        <v>2660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2768</v>
      </c>
      <c r="D95" s="539" t="s">
        <v>2769</v>
      </c>
      <c r="E95" s="539" t="s">
        <v>2770</v>
      </c>
      <c r="F95" s="539" t="s">
        <v>2771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2785</v>
      </c>
      <c r="B1" s="241"/>
      <c r="C1" s="245" t="s">
        <v>2786</v>
      </c>
      <c r="D1" s="388">
        <f>SUM(D29:D30,D33:D39)</f>
        <v>0</v>
      </c>
      <c r="E1" s="2714"/>
      <c r="F1" s="2714"/>
      <c r="G1" s="2714"/>
      <c r="H1" s="2714"/>
      <c r="I1" s="2714"/>
      <c r="J1" s="2714"/>
      <c r="K1" s="1371"/>
      <c r="L1" s="2715" t="s">
        <v>2787</v>
      </c>
      <c r="M1" s="1081">
        <f>SUMPRODUCT((区片价!B5:B9=I2)*(区片价!C3:F3=E2)*(区片价!C5:F9))</f>
        <v>0</v>
      </c>
      <c r="N1" s="1084">
        <f>SUMPRODUCT((因素修正幅度!B5:B9=I2)*(因素修正幅度!C3:F3=E2)*(因素修正幅度!C5:F9))</f>
        <v>0</v>
      </c>
      <c r="O1" s="2716"/>
      <c r="P1" s="2716"/>
      <c r="Q1" s="1371"/>
      <c r="R1" s="1604" t="s">
        <v>2788</v>
      </c>
      <c r="S1" s="1604" t="s">
        <v>2789</v>
      </c>
      <c r="T1" s="1604" t="s">
        <v>2790</v>
      </c>
      <c r="U1" s="1604" t="s">
        <v>2791</v>
      </c>
      <c r="V1" s="1604" t="s">
        <v>2792</v>
      </c>
      <c r="W1" s="1608"/>
      <c r="X1" s="1608"/>
      <c r="Y1" s="1608"/>
      <c r="Z1" s="1608"/>
      <c r="AA1" s="1608"/>
      <c r="AB1" s="1608"/>
      <c r="AC1" s="1609"/>
      <c r="AD1" s="1610"/>
      <c r="AE1" s="1610"/>
      <c r="AF1" s="1610"/>
      <c r="AG1" s="1610"/>
      <c r="AH1" s="1610"/>
      <c r="AI1" s="1610"/>
      <c r="AJ1" s="1611"/>
    </row>
    <row r="2" spans="1:36" ht="15.75">
      <c r="A2" s="245" t="s">
        <v>2793</v>
      </c>
      <c r="B2" s="248" t="e">
        <f>C26</f>
        <v>#DIV/0!</v>
      </c>
      <c r="C2" s="2718" t="s">
        <v>2794</v>
      </c>
      <c r="D2" s="2719" t="s">
        <v>2795</v>
      </c>
      <c r="E2" s="2720"/>
      <c r="F2" s="2719" t="s">
        <v>2796</v>
      </c>
      <c r="G2" s="2721">
        <f>IF(E2="商业",项目基本情况!B37,IF(E2="办公",项目基本情况!C37,IF(E2="住宅",项目基本情况!D37,项目基本情况!E37)))</f>
        <v>0</v>
      </c>
      <c r="H2" s="2719" t="s">
        <v>2797</v>
      </c>
      <c r="I2" s="2721">
        <f>IF(E2="商业",项目基本情况!B38,IF(E2="办公",项目基本情况!C38,IF(E2="住宅",项目基本情况!D38,项目基本情况!E38)))</f>
        <v>0</v>
      </c>
      <c r="J2" s="2722"/>
      <c r="K2" s="1371"/>
      <c r="L2" s="2723" t="s">
        <v>2798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2799</v>
      </c>
      <c r="B3" s="248" t="e">
        <f>ROUND(B2*10000/D1,0)</f>
        <v>#DIV/0!</v>
      </c>
      <c r="C3" s="2718" t="s">
        <v>2800</v>
      </c>
      <c r="D3" s="2719" t="s">
        <v>2801</v>
      </c>
      <c r="E3" s="2724"/>
      <c r="F3" s="2725" t="s">
        <v>2802</v>
      </c>
      <c r="G3" s="914">
        <f>IF(F3="宗地容积率",'数据-汇总表'!I4,IF(F3="估价对象容积率",'数据-汇总表'!I6,'数据-汇总表'!I7))</f>
        <v>3.21</v>
      </c>
      <c r="H3" s="198" t="s">
        <v>2803</v>
      </c>
      <c r="I3" s="945"/>
      <c r="J3" s="2722" t="s">
        <v>2804</v>
      </c>
      <c r="K3" s="1371"/>
      <c r="L3" s="2723" t="s">
        <v>2805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7"/>
      <c r="B4" s="3318"/>
      <c r="C4" s="3318"/>
      <c r="D4" s="3319"/>
      <c r="E4" s="3319"/>
      <c r="F4" s="3319"/>
      <c r="G4" s="3319"/>
      <c r="H4" s="3319"/>
      <c r="I4" s="3319"/>
      <c r="J4" s="3320"/>
      <c r="K4" s="1371"/>
      <c r="L4" s="2723" t="s">
        <v>2806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2807</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2808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2809</v>
      </c>
      <c r="B6" s="2737" t="s">
        <v>2810</v>
      </c>
      <c r="C6" s="916">
        <f>SUMIF(L1:L12,G2,M1:M12)</f>
        <v>0</v>
      </c>
      <c r="D6" s="2738" t="s">
        <v>2811</v>
      </c>
      <c r="E6" s="2739"/>
      <c r="F6" s="2739"/>
      <c r="G6" s="2740"/>
      <c r="H6" s="2740"/>
      <c r="I6" s="2740"/>
      <c r="J6" s="2741"/>
      <c r="K6" s="1844"/>
      <c r="L6" s="2723" t="s">
        <v>2812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21" t="str">
        <f>IF(E2="商业",IF(C8="不临58条商业街","",2),"")</f>
        <v/>
      </c>
      <c r="B7" s="2742" t="s">
        <v>2813</v>
      </c>
      <c r="C7" s="917" t="e">
        <f>IF(C8="不临58条商业街",1,ROUND(1+(1.6*E8+1.2*E9+0.8*E10+0.4*E11)*C9,4))</f>
        <v>#DIV/0!</v>
      </c>
      <c r="D7" s="2743" t="s">
        <v>2814</v>
      </c>
      <c r="E7" s="946"/>
      <c r="F7" s="2744"/>
      <c r="G7" s="2745"/>
      <c r="H7" s="2745"/>
      <c r="I7" s="2745"/>
      <c r="J7" s="2746"/>
      <c r="K7" s="1844"/>
      <c r="L7" s="2723" t="s">
        <v>2815</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2816</v>
      </c>
      <c r="X7" s="1606">
        <f>G2</f>
        <v>0</v>
      </c>
      <c r="Y7" s="1606" t="s">
        <v>2817</v>
      </c>
      <c r="Z7" s="1607">
        <f>G3</f>
        <v>3.21</v>
      </c>
      <c r="AA7" s="1608"/>
      <c r="AB7" s="1608"/>
      <c r="AC7" s="1609"/>
      <c r="AD7" s="1610"/>
      <c r="AE7" s="1610"/>
      <c r="AF7" s="1610"/>
      <c r="AG7" s="1610"/>
      <c r="AH7" s="1610"/>
      <c r="AI7" s="1610"/>
      <c r="AJ7" s="1611"/>
    </row>
    <row r="8" spans="1:36" ht="15">
      <c r="A8" s="3322"/>
      <c r="B8" s="198" t="s">
        <v>2818</v>
      </c>
      <c r="C8" s="2747"/>
      <c r="D8" s="918" t="s">
        <v>139</v>
      </c>
      <c r="E8" s="919" t="e">
        <f>ROUND(C11/E7,4)</f>
        <v>#DIV/0!</v>
      </c>
      <c r="F8" s="2748" t="s">
        <v>2819</v>
      </c>
      <c r="G8" s="2749"/>
      <c r="H8" s="2749"/>
      <c r="I8" s="2749"/>
      <c r="J8" s="2750"/>
      <c r="K8" s="1371"/>
      <c r="L8" s="2723" t="s">
        <v>2820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14" t="s">
        <v>2821</v>
      </c>
      <c r="X8" s="3315"/>
      <c r="Y8" s="1612" t="s">
        <v>2822</v>
      </c>
      <c r="Z8" s="1612" t="s">
        <v>2823</v>
      </c>
      <c r="AA8" s="1612" t="s">
        <v>2824</v>
      </c>
      <c r="AB8" s="1612" t="s">
        <v>2825</v>
      </c>
      <c r="AC8" s="1612" t="s">
        <v>2826</v>
      </c>
      <c r="AD8" s="1612" t="s">
        <v>2827</v>
      </c>
      <c r="AE8" s="1612" t="s">
        <v>2828</v>
      </c>
      <c r="AF8" s="1612" t="s">
        <v>2829</v>
      </c>
      <c r="AG8" s="1612" t="s">
        <v>2830</v>
      </c>
      <c r="AH8" s="1612" t="s">
        <v>2831</v>
      </c>
      <c r="AI8" s="1612" t="s">
        <v>2832</v>
      </c>
      <c r="AJ8" s="1612" t="s">
        <v>2833</v>
      </c>
    </row>
    <row r="9" spans="1:36" ht="15">
      <c r="A9" s="3322"/>
      <c r="B9" s="198" t="s">
        <v>2834</v>
      </c>
      <c r="C9" s="920">
        <f>SUMIF(修正!C59:C119,C8,修正!E59:E119)</f>
        <v>0</v>
      </c>
      <c r="D9" s="200" t="s">
        <v>140</v>
      </c>
      <c r="E9" s="200" t="e">
        <f>ROUND(C11/E7,4)</f>
        <v>#DIV/0!</v>
      </c>
      <c r="F9" s="2748" t="s">
        <v>2835</v>
      </c>
      <c r="G9" s="2749"/>
      <c r="H9" s="2749"/>
      <c r="I9" s="2749"/>
      <c r="J9" s="2750"/>
      <c r="K9" s="1371"/>
      <c r="L9" s="2723" t="s">
        <v>2836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16" t="s">
        <v>2837</v>
      </c>
      <c r="X9" s="1613" t="s">
        <v>2838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2"/>
      <c r="B10" s="198" t="s">
        <v>2839</v>
      </c>
      <c r="C10" s="200">
        <f>SUMIF(修正!C59:C119,C8,修正!F59:F119)</f>
        <v>0</v>
      </c>
      <c r="D10" s="200" t="s">
        <v>141</v>
      </c>
      <c r="E10" s="200" t="e">
        <f>ROUND(C11/E7,4)</f>
        <v>#DIV/0!</v>
      </c>
      <c r="F10" s="2748" t="s">
        <v>2840</v>
      </c>
      <c r="G10" s="2749"/>
      <c r="H10" s="2749"/>
      <c r="I10" s="2749"/>
      <c r="J10" s="2750"/>
      <c r="K10" s="1371"/>
      <c r="L10" s="2723" t="s">
        <v>2841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1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2"/>
      <c r="B11" s="2751" t="s">
        <v>2842</v>
      </c>
      <c r="C11" s="921">
        <f>C10/4</f>
        <v>0</v>
      </c>
      <c r="D11" s="921" t="s">
        <v>142</v>
      </c>
      <c r="E11" s="921" t="e">
        <f>ROUND(C11/E7,4)</f>
        <v>#DIV/0!</v>
      </c>
      <c r="F11" s="2752" t="s">
        <v>2843</v>
      </c>
      <c r="G11" s="2753"/>
      <c r="H11" s="2753"/>
      <c r="I11" s="2753"/>
      <c r="J11" s="2754"/>
      <c r="K11" s="1371"/>
      <c r="L11" s="2723" t="s">
        <v>2844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16" t="s">
        <v>2845</v>
      </c>
      <c r="X11" s="1616" t="s">
        <v>2846</v>
      </c>
      <c r="Y11" s="1617">
        <f>$G$3</f>
        <v>3.21</v>
      </c>
      <c r="Z11" s="1617">
        <f t="shared" ref="Z11:AJ11" si="3">$G$3</f>
        <v>3.21</v>
      </c>
      <c r="AA11" s="1617">
        <f t="shared" si="3"/>
        <v>3.21</v>
      </c>
      <c r="AB11" s="1617">
        <f t="shared" si="3"/>
        <v>3.21</v>
      </c>
      <c r="AC11" s="1617">
        <f t="shared" si="3"/>
        <v>3.21</v>
      </c>
      <c r="AD11" s="1617">
        <f t="shared" si="3"/>
        <v>3.21</v>
      </c>
      <c r="AE11" s="1617">
        <f t="shared" si="3"/>
        <v>3.21</v>
      </c>
      <c r="AF11" s="1617">
        <f t="shared" si="3"/>
        <v>3.21</v>
      </c>
      <c r="AG11" s="1617">
        <f t="shared" si="3"/>
        <v>3.21</v>
      </c>
      <c r="AH11" s="1617">
        <f t="shared" si="3"/>
        <v>3.21</v>
      </c>
      <c r="AI11" s="1617">
        <f t="shared" si="3"/>
        <v>3.21</v>
      </c>
      <c r="AJ11" s="1617">
        <f t="shared" si="3"/>
        <v>3.21</v>
      </c>
    </row>
    <row r="12" spans="1:36" ht="25.5" thickBot="1">
      <c r="A12" s="3321" t="s">
        <v>2847</v>
      </c>
      <c r="B12" s="2755" t="s">
        <v>2848</v>
      </c>
      <c r="C12" s="917">
        <f>ROUND(C15*D15*E15*F15*G15*H15*I15*J15,4)</f>
        <v>1</v>
      </c>
      <c r="D12" s="2756" t="s">
        <v>2849</v>
      </c>
      <c r="E12" s="2757"/>
      <c r="F12" s="2757"/>
      <c r="G12" s="2758"/>
      <c r="H12" s="2758"/>
      <c r="I12" s="2758"/>
      <c r="J12" s="2759"/>
      <c r="K12" s="1371"/>
      <c r="L12" s="2760" t="s">
        <v>2850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16"/>
      <c r="X12" s="1618" t="s">
        <v>2851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3"/>
      <c r="B13" s="2761" t="s">
        <v>2852</v>
      </c>
      <c r="C13" s="2762" t="s">
        <v>2853</v>
      </c>
      <c r="D13" s="1810" t="s">
        <v>2854</v>
      </c>
      <c r="E13" s="1810" t="s">
        <v>2855</v>
      </c>
      <c r="F13" s="30" t="s">
        <v>2856</v>
      </c>
      <c r="G13" s="2763" t="s">
        <v>2857</v>
      </c>
      <c r="H13" s="2763" t="s">
        <v>2857</v>
      </c>
      <c r="I13" s="2763" t="s">
        <v>2857</v>
      </c>
      <c r="J13" s="2764" t="s">
        <v>2857</v>
      </c>
      <c r="K13" s="1371"/>
      <c r="L13" s="1371"/>
      <c r="M13" s="1371"/>
      <c r="N13" s="1371"/>
      <c r="O13" s="1371"/>
      <c r="P13" s="1371"/>
      <c r="Q13" s="1371"/>
      <c r="R13" s="1604">
        <v>12</v>
      </c>
      <c r="S13" s="1605"/>
      <c r="T13" s="1604" t="e">
        <f t="shared" si="0"/>
        <v>#DIV/0!</v>
      </c>
      <c r="U13" s="1605"/>
      <c r="V13" s="1604" t="e">
        <f t="shared" si="1"/>
        <v>#DIV/0!</v>
      </c>
      <c r="W13" s="3316"/>
      <c r="X13" s="1618"/>
      <c r="Y13" s="1615">
        <f>(-0.163*(Y12^2)-0.59*Y12+7617)*(10^(-4))/Y11</f>
        <v>0.23728971962616824</v>
      </c>
      <c r="Z13" s="1615">
        <f t="shared" ref="Z13:AJ13" si="5">(-0.163*(Z12^2)-0.59*Z12+7617)*(10^(-4))/Z11</f>
        <v>0.23728971962616824</v>
      </c>
      <c r="AA13" s="1615">
        <f t="shared" si="5"/>
        <v>0.23728971962616824</v>
      </c>
      <c r="AB13" s="1615">
        <f t="shared" si="5"/>
        <v>0.23728971962616824</v>
      </c>
      <c r="AC13" s="1615">
        <f t="shared" si="5"/>
        <v>0.23728971962616824</v>
      </c>
      <c r="AD13" s="1615">
        <f t="shared" si="5"/>
        <v>0.23728971962616824</v>
      </c>
      <c r="AE13" s="1615">
        <f t="shared" si="5"/>
        <v>0.23728971962616824</v>
      </c>
      <c r="AF13" s="1615">
        <f t="shared" si="5"/>
        <v>0.23728971962616824</v>
      </c>
      <c r="AG13" s="1615">
        <f t="shared" si="5"/>
        <v>0.23728971962616824</v>
      </c>
      <c r="AH13" s="1615">
        <f t="shared" si="5"/>
        <v>0.23728971962616824</v>
      </c>
      <c r="AI13" s="1615">
        <f t="shared" si="5"/>
        <v>0.23728971962616824</v>
      </c>
      <c r="AJ13" s="1615">
        <f t="shared" si="5"/>
        <v>0.23728971962616824</v>
      </c>
    </row>
    <row r="14" spans="1:36" ht="15">
      <c r="A14" s="3323"/>
      <c r="B14" s="2765"/>
      <c r="C14" s="2766"/>
      <c r="D14" s="2767"/>
      <c r="E14" s="2767"/>
      <c r="F14" s="2768"/>
      <c r="G14" s="2769" t="s">
        <v>2858</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4"/>
      <c r="B15" s="2773" t="s">
        <v>2859</v>
      </c>
      <c r="C15" s="229">
        <f>IF(C14="有",1.1,1)</f>
        <v>1</v>
      </c>
      <c r="D15" s="229">
        <f>IF(D14="有",1.1,1)</f>
        <v>1</v>
      </c>
      <c r="E15" s="229">
        <f>IF(E14="有",1.1,1)</f>
        <v>1</v>
      </c>
      <c r="F15" s="229">
        <f>IF(F14="500米范围内",1.2,IF(F14="500-1000米",1.1,1))</f>
        <v>1</v>
      </c>
      <c r="G15" s="947">
        <v>1</v>
      </c>
      <c r="H15" s="947">
        <v>1</v>
      </c>
      <c r="I15" s="947">
        <v>1</v>
      </c>
      <c r="J15" s="948">
        <v>1</v>
      </c>
      <c r="K15" s="1371"/>
      <c r="L15" s="2774" t="s">
        <v>2795</v>
      </c>
      <c r="M15" s="918" t="s">
        <v>2860</v>
      </c>
      <c r="N15" s="918" t="s">
        <v>2861</v>
      </c>
      <c r="O15" s="918" t="s">
        <v>2862</v>
      </c>
      <c r="P15" s="2775" t="s">
        <v>2863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1" t="s">
        <v>2864</v>
      </c>
      <c r="B16" s="2742" t="s">
        <v>2865</v>
      </c>
      <c r="C16" s="1803" t="e">
        <f>ROUND(SUM(G17:J17)/C17,0)</f>
        <v>#DIV/0!</v>
      </c>
      <c r="D16" s="2776" t="s">
        <v>2866</v>
      </c>
      <c r="E16" s="2777"/>
      <c r="F16" s="2778"/>
      <c r="G16" s="2779"/>
      <c r="H16" s="2779"/>
      <c r="I16" s="2779"/>
      <c r="J16" s="2780"/>
      <c r="K16" s="1371"/>
      <c r="L16" s="2781" t="s">
        <v>2867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2"/>
      <c r="B17" s="2782" t="s">
        <v>2868</v>
      </c>
      <c r="C17" s="922">
        <f>SUMPRODUCT((修正!A2:A5=E2)*(修正!B1:M1=G2)*(修正!B2:M5))</f>
        <v>0</v>
      </c>
      <c r="D17" s="2783" t="s">
        <v>2869</v>
      </c>
      <c r="E17" s="921" t="str">
        <f>IF(OR(G2="八级",G2="九级",G2="十级",G2="十一级",G2="十二级"),"五通一平","七通一平")</f>
        <v>七通一平</v>
      </c>
      <c r="F17" s="922" t="s">
        <v>2870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2871</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2872</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2873</v>
      </c>
      <c r="C19" s="925" t="e">
        <f>ROUND(IF(H19="按公示增长率计算",SUMPRODUCT((地价!A3:A20=YEAR(G19)&amp;"-"&amp;ROUNDUP(MONTH(G19)/3,0))*(地价!X2:AB2=E2)*(地价!X3:AB20)),IF(H19="地价指数",M20/M19,(1+I19)^O19)),4)</f>
        <v>#DIV/0!</v>
      </c>
      <c r="D19" s="2794" t="s">
        <v>2874</v>
      </c>
      <c r="E19" s="926">
        <v>41640</v>
      </c>
      <c r="F19" s="2794" t="s">
        <v>2875</v>
      </c>
      <c r="G19" s="927">
        <f>'数据-取费表'!B2</f>
        <v>43069</v>
      </c>
      <c r="H19" s="2795" t="s">
        <v>2876</v>
      </c>
      <c r="I19" s="928" t="str">
        <f>IF(H19="季度增幅（自定义）",SUMIF(N21:N24,E2,O21:O24),"")</f>
        <v/>
      </c>
      <c r="J19" s="2792"/>
      <c r="K19" s="1378"/>
      <c r="L19" s="2796" t="s">
        <v>2877</v>
      </c>
      <c r="M19" s="1736">
        <f>ROUND(SUMIF(地价!B2:F2,E2,地价!B20:F20),0)</f>
        <v>0</v>
      </c>
      <c r="N19" s="2797" t="s">
        <v>2878</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2879</v>
      </c>
      <c r="C20" s="930" t="e">
        <f>ROUND(POWER(1+G20,J20-I20)*(POWER(1+G20,I20)-1)/(POWER(1+G20,J20)-1),4)</f>
        <v>#DIV/0!</v>
      </c>
      <c r="D20" s="2803" t="s">
        <v>2880</v>
      </c>
      <c r="E20" s="1770">
        <f ca="1">存贷款利率!D4/100</f>
        <v>4.3499999999999997E-2</v>
      </c>
      <c r="F20" s="2803" t="s">
        <v>2871</v>
      </c>
      <c r="G20" s="935">
        <f>SUMIF(M15:P15,E2,M17:P17)</f>
        <v>0</v>
      </c>
      <c r="H20" s="2803" t="s">
        <v>2881</v>
      </c>
      <c r="I20" s="936" t="e">
        <f>SUMIF('数据-取费表'!C6:C15,E2,'数据-取费表'!F6:F15)/COUNTIF('数据-取费表'!C6:C15,E2)</f>
        <v>#DIV/0!</v>
      </c>
      <c r="J20" s="937">
        <f>IF(E2="住宅",70,IF(E2="商业",40,50))</f>
        <v>50</v>
      </c>
      <c r="K20" s="1378"/>
      <c r="L20" s="2804" t="s">
        <v>2882</v>
      </c>
      <c r="M20" s="1737">
        <f>ROUND(SUMPRODUCT((地价!A5:A20=YEAR(G19)&amp;"-"&amp;ROUNDUP(MONTH(G19)/3,0))*(地价!B2:F2=E2)*(地价!B5:F20)),0)</f>
        <v>0</v>
      </c>
      <c r="N20" s="2805" t="s">
        <v>2883</v>
      </c>
      <c r="O20" s="2806" t="s">
        <v>2884</v>
      </c>
      <c r="P20" s="2807" t="s">
        <v>2885</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2886</v>
      </c>
      <c r="C21" s="938">
        <f>IF(B21="容积率修正",IF(G3&lt;=10,D22,J22),C23)</f>
        <v>0</v>
      </c>
      <c r="D21" s="2810"/>
      <c r="E21" s="2810"/>
      <c r="F21" s="2810"/>
      <c r="G21" s="2810"/>
      <c r="H21" s="2810"/>
      <c r="I21" s="2810"/>
      <c r="J21" s="2811"/>
      <c r="K21" s="1378"/>
      <c r="N21" s="2812" t="s">
        <v>2887</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2888</v>
      </c>
      <c r="B22" s="2813" t="s">
        <v>2889</v>
      </c>
      <c r="C22" s="1812" t="s">
        <v>2890</v>
      </c>
      <c r="D22" s="1812">
        <f>IF(E22=G22,F22,IF(G3&lt;=10,ROUND(F22+(H22-F22)*(G3-E22)/(G22-E22),4),"——"))</f>
        <v>0</v>
      </c>
      <c r="E22" s="914">
        <f>ROUNDDOWN(G3,1)</f>
        <v>3.2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39" t="str">
        <f>IF(G3&gt;10,D113,"——")</f>
        <v>——</v>
      </c>
      <c r="K22" s="1378"/>
      <c r="N22" s="2812" t="s">
        <v>2891</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2892</v>
      </c>
      <c r="B23" s="2814" t="s">
        <v>2893</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2894</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2895</v>
      </c>
      <c r="C24" s="925">
        <f>SUMIF(A45:A88,E2,B45:B88)</f>
        <v>0</v>
      </c>
      <c r="D24" s="2790"/>
      <c r="E24" s="2820"/>
      <c r="F24" s="2820"/>
      <c r="G24" s="2820"/>
      <c r="H24" s="2820"/>
      <c r="I24" s="2820"/>
      <c r="J24" s="2821"/>
      <c r="K24" s="1378"/>
      <c r="N24" s="2822" t="s">
        <v>2896</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2897</v>
      </c>
      <c r="C25" s="931"/>
      <c r="D25" s="2745"/>
      <c r="E25" s="2745"/>
      <c r="F25" s="2824"/>
      <c r="G25" s="2745"/>
      <c r="H25" s="2745"/>
      <c r="I25" s="2745"/>
      <c r="J25" s="2746"/>
      <c r="K25" s="1371"/>
      <c r="N25" s="2825" t="s">
        <v>2898</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2899</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2900</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2901</v>
      </c>
      <c r="C28" s="2837" t="s">
        <v>2902</v>
      </c>
      <c r="D28" s="2837" t="s">
        <v>2903</v>
      </c>
      <c r="E28" s="2838" t="s">
        <v>2904</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2905</v>
      </c>
      <c r="C29" s="206" t="e">
        <f>ROUND(C5*C18*C19*C20*C21*C24,0)</f>
        <v>#DIV/0!</v>
      </c>
      <c r="D29" s="2842"/>
      <c r="E29" s="943" t="e">
        <f>ROUND(C29*D29/10000,0)</f>
        <v>#DIV/0!</v>
      </c>
      <c r="F29" s="2843" t="s">
        <v>2906</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2907</v>
      </c>
      <c r="C30" s="229" t="e">
        <f>ROUND(IF(E2="工业",C29*M39,C29*M38),0)</f>
        <v>#DIV/0!</v>
      </c>
      <c r="D30" s="2848"/>
      <c r="E30" s="943" t="e">
        <f>ROUND(C30*D30/10000,0)</f>
        <v>#DIV/0!</v>
      </c>
      <c r="F30" s="2849" t="s">
        <v>2908</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2909</v>
      </c>
      <c r="C31" s="2854" t="s">
        <v>2910</v>
      </c>
      <c r="D31" s="2758"/>
      <c r="E31" s="2854"/>
      <c r="F31" s="2854"/>
      <c r="G31" s="2756" t="s">
        <v>2911</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2902</v>
      </c>
      <c r="D32" s="498" t="s">
        <v>2903</v>
      </c>
      <c r="E32" s="498" t="s">
        <v>2904</v>
      </c>
      <c r="F32" s="388" t="s">
        <v>2912</v>
      </c>
      <c r="G32" s="2857" t="s">
        <v>2902</v>
      </c>
      <c r="H32" s="2857" t="s">
        <v>2903</v>
      </c>
      <c r="I32" s="2857" t="s">
        <v>2904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31" t="s">
        <v>2913</v>
      </c>
      <c r="B33" s="2858" t="s">
        <v>2914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2"/>
      <c r="B34" s="2762" t="s">
        <v>2915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2"/>
      <c r="B35" s="2762" t="s">
        <v>2916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33"/>
      <c r="B36" s="2762" t="s">
        <v>2917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2918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2919</v>
      </c>
      <c r="M37" s="2862"/>
      <c r="N37" s="1371"/>
      <c r="O37" s="1371"/>
      <c r="P37" s="1371"/>
      <c r="Q37" s="1371"/>
      <c r="R37" s="1371"/>
      <c r="S37" s="1371"/>
      <c r="T37" s="1371"/>
      <c r="U37" s="1371"/>
      <c r="V37" s="1371"/>
      <c r="W37" s="1371"/>
      <c r="X37" s="1371"/>
      <c r="Y37" s="1371"/>
      <c r="Z37" s="1372"/>
    </row>
    <row r="38" spans="1:37">
      <c r="A38" s="2860"/>
      <c r="B38" s="2762" t="s">
        <v>2920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2921</v>
      </c>
      <c r="M38" s="2863">
        <v>0.25</v>
      </c>
      <c r="N38" s="1371"/>
      <c r="O38" s="1371"/>
      <c r="P38" s="1371"/>
      <c r="Q38" s="1371"/>
      <c r="R38" s="1371"/>
      <c r="S38" s="1371"/>
      <c r="T38" s="1371"/>
      <c r="U38" s="1371"/>
      <c r="V38" s="1371"/>
      <c r="W38" s="1371"/>
      <c r="X38" s="1371"/>
      <c r="Y38" s="1371"/>
      <c r="Z38" s="1372"/>
    </row>
    <row r="39" spans="1:37" ht="13.5" thickBot="1">
      <c r="A39" s="2846"/>
      <c r="B39" s="2864" t="s">
        <v>2922</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2863</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2923</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2924</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2925</v>
      </c>
      <c r="B47" s="1811" t="s">
        <v>2926</v>
      </c>
      <c r="C47" s="1811" t="s">
        <v>2927</v>
      </c>
      <c r="D47" s="1811" t="s">
        <v>2928</v>
      </c>
      <c r="E47" s="817" t="s">
        <v>2929</v>
      </c>
      <c r="F47" s="2876" t="s">
        <v>2930</v>
      </c>
      <c r="G47" s="1811" t="s">
        <v>754</v>
      </c>
      <c r="H47" s="2877" t="s">
        <v>2931</v>
      </c>
      <c r="I47" s="1811" t="s">
        <v>2932</v>
      </c>
      <c r="J47" s="603" t="s">
        <v>2578</v>
      </c>
      <c r="K47" s="603" t="s">
        <v>2579</v>
      </c>
      <c r="L47" s="603" t="s">
        <v>2580</v>
      </c>
      <c r="M47" s="603" t="s">
        <v>2581</v>
      </c>
      <c r="N47" s="603" t="s">
        <v>2582</v>
      </c>
      <c r="AA47" s="1372"/>
      <c r="AB47" s="1372"/>
      <c r="AC47" s="1372"/>
      <c r="AD47" s="1372"/>
      <c r="AE47" s="1372"/>
      <c r="AF47" s="1372"/>
      <c r="AG47" s="1372"/>
      <c r="AH47" s="1372"/>
      <c r="AI47" s="1372"/>
      <c r="AJ47" s="1372"/>
      <c r="AK47" s="1372"/>
    </row>
    <row r="48" spans="1:37" s="1371" customFormat="1" ht="24.75">
      <c r="A48" s="2875" t="s">
        <v>2933</v>
      </c>
      <c r="B48" s="2878">
        <f>估价对象房地状况!C4</f>
        <v>0</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5" t="s">
        <v>2934</v>
      </c>
      <c r="B49" s="2879" t="str">
        <f>估价对象房地状况!C18</f>
        <v>一般</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2935</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2936</v>
      </c>
      <c r="B51" s="2880" t="s">
        <v>2937</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2938</v>
      </c>
      <c r="B52" s="2879" t="str">
        <f>估价对象房地状况!C24</f>
        <v>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2939</v>
      </c>
      <c r="B53" s="2881" t="s">
        <v>2940</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2941</v>
      </c>
      <c r="B54" s="1727" t="str">
        <f>估价对象房地状况!C21</f>
        <v>较齐备</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2942</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3" t="s">
        <v>2943</v>
      </c>
      <c r="B56" s="2884" t="str">
        <f>估价对象房地状况!C20</f>
        <v>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2944</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2925</v>
      </c>
      <c r="B58" s="1811"/>
      <c r="C58" s="1811" t="s">
        <v>2927</v>
      </c>
      <c r="D58" s="1811" t="s">
        <v>2928</v>
      </c>
      <c r="E58" s="817" t="s">
        <v>2929</v>
      </c>
      <c r="F58" s="2876" t="s">
        <v>2945</v>
      </c>
      <c r="G58" s="1811" t="s">
        <v>754</v>
      </c>
      <c r="H58" s="2877" t="s">
        <v>2931</v>
      </c>
      <c r="I58" s="1811" t="s">
        <v>2932</v>
      </c>
      <c r="J58" s="603" t="s">
        <v>2578</v>
      </c>
      <c r="K58" s="603" t="s">
        <v>2579</v>
      </c>
      <c r="L58" s="603" t="s">
        <v>2580</v>
      </c>
      <c r="M58" s="603" t="s">
        <v>2581</v>
      </c>
      <c r="N58" s="603" t="s">
        <v>2582</v>
      </c>
      <c r="AA58" s="1372"/>
      <c r="AB58" s="1372"/>
      <c r="AC58" s="1372"/>
      <c r="AD58" s="1372"/>
      <c r="AE58" s="1372"/>
      <c r="AF58" s="1372"/>
      <c r="AG58" s="1372"/>
      <c r="AH58" s="1372"/>
      <c r="AI58" s="1372"/>
      <c r="AJ58" s="1372"/>
      <c r="AK58" s="1372"/>
    </row>
    <row r="59" spans="1:37" s="1371" customFormat="1" ht="24">
      <c r="A59" s="2875" t="s">
        <v>2946</v>
      </c>
      <c r="B59" s="2878" t="str">
        <f>估价对象房地状况!C17</f>
        <v>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5" t="s">
        <v>2934</v>
      </c>
      <c r="B60" s="2879" t="str">
        <f>估价对象房地状况!C18</f>
        <v>一般</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2935</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2936</v>
      </c>
      <c r="B62" s="2880" t="s">
        <v>2937</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2938</v>
      </c>
      <c r="B63" s="2879" t="str">
        <f>估价对象房地状况!C24</f>
        <v>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2939</v>
      </c>
      <c r="B64" s="2881" t="s">
        <v>2940</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2941</v>
      </c>
      <c r="B65" s="1727" t="str">
        <f>估价对象房地状况!C21</f>
        <v>较齐备</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2942</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3" t="s">
        <v>2943</v>
      </c>
      <c r="B67" s="2885" t="str">
        <f>估价对象房地状况!C20</f>
        <v>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2947</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2925</v>
      </c>
      <c r="B69" s="1811"/>
      <c r="C69" s="1811" t="s">
        <v>2927</v>
      </c>
      <c r="D69" s="1811" t="s">
        <v>2928</v>
      </c>
      <c r="E69" s="817" t="s">
        <v>2929</v>
      </c>
      <c r="F69" s="2876" t="s">
        <v>2945</v>
      </c>
      <c r="G69" s="1811" t="s">
        <v>754</v>
      </c>
      <c r="H69" s="2877" t="s">
        <v>2931</v>
      </c>
      <c r="I69" s="1811" t="s">
        <v>2932</v>
      </c>
      <c r="J69" s="603" t="s">
        <v>2578</v>
      </c>
      <c r="K69" s="603" t="s">
        <v>2579</v>
      </c>
      <c r="L69" s="603" t="s">
        <v>2580</v>
      </c>
      <c r="M69" s="603" t="s">
        <v>2581</v>
      </c>
      <c r="N69" s="603" t="s">
        <v>2582</v>
      </c>
      <c r="AA69" s="1372"/>
      <c r="AB69" s="1372"/>
      <c r="AC69" s="1372"/>
      <c r="AD69" s="1372"/>
      <c r="AE69" s="1372"/>
      <c r="AF69" s="1372"/>
      <c r="AG69" s="1372"/>
      <c r="AH69" s="1372"/>
      <c r="AI69" s="1372"/>
      <c r="AJ69" s="1372"/>
      <c r="AK69" s="1372"/>
    </row>
    <row r="70" spans="1:37" s="1371" customFormat="1" ht="24">
      <c r="A70" s="2875" t="s">
        <v>2948</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5" t="s">
        <v>2934</v>
      </c>
      <c r="B71" s="2879" t="str">
        <f>估价对象房地状况!C18</f>
        <v>一般</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2935</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2949</v>
      </c>
      <c r="B73" s="2879" t="str">
        <f>估价对象房地状况!C24</f>
        <v>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2941</v>
      </c>
      <c r="B74" s="1727" t="str">
        <f>估价对象房地状况!C21</f>
        <v>较齐备</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2942</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2939</v>
      </c>
      <c r="B76" s="2881" t="s">
        <v>2940</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24">
      <c r="A77" s="2875" t="s">
        <v>2943</v>
      </c>
      <c r="B77" s="2878" t="str">
        <f>估价对象房地状况!C20</f>
        <v>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2950</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2951</v>
      </c>
      <c r="B79" s="2872">
        <f>1+E81</f>
        <v>1</v>
      </c>
      <c r="C79" s="812"/>
      <c r="D79" s="812"/>
      <c r="E79" s="813"/>
      <c r="F79" s="2874"/>
      <c r="G79" s="6"/>
      <c r="H79" s="6"/>
      <c r="I79" s="6"/>
      <c r="J79" s="7"/>
      <c r="K79" s="7"/>
      <c r="L79" s="7"/>
      <c r="M79" s="7"/>
      <c r="N79" s="7"/>
      <c r="Z79" s="2717"/>
      <c r="AA79" s="2793"/>
      <c r="AG79" s="1373"/>
      <c r="AK79" s="2793"/>
    </row>
    <row r="80" spans="1:37" ht="24.75">
      <c r="A80" s="2875" t="s">
        <v>2925</v>
      </c>
      <c r="B80" s="1811"/>
      <c r="C80" s="1811" t="s">
        <v>2927</v>
      </c>
      <c r="D80" s="1811" t="s">
        <v>2928</v>
      </c>
      <c r="E80" s="817" t="s">
        <v>2929</v>
      </c>
      <c r="F80" s="2876" t="s">
        <v>2945</v>
      </c>
      <c r="G80" s="1811" t="s">
        <v>754</v>
      </c>
      <c r="H80" s="2877" t="s">
        <v>2931</v>
      </c>
      <c r="I80" s="1811" t="s">
        <v>2932</v>
      </c>
      <c r="J80" s="603" t="s">
        <v>2578</v>
      </c>
      <c r="K80" s="603" t="s">
        <v>2579</v>
      </c>
      <c r="L80" s="603" t="s">
        <v>2580</v>
      </c>
      <c r="M80" s="603" t="s">
        <v>2581</v>
      </c>
      <c r="N80" s="603" t="s">
        <v>2582</v>
      </c>
      <c r="Z80" s="2717"/>
      <c r="AA80" s="2793"/>
      <c r="AG80" s="1373"/>
      <c r="AK80" s="2793"/>
    </row>
    <row r="81" spans="1:37" ht="24">
      <c r="A81" s="2875" t="s">
        <v>2952</v>
      </c>
      <c r="B81" s="2879">
        <f>估价对象房地状况!G15</f>
        <v>0</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14.25">
      <c r="A82" s="2875" t="s">
        <v>2934</v>
      </c>
      <c r="B82" s="2879">
        <f>估价对象房地状况!G16</f>
        <v>0</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2935</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2949</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4">
      <c r="A85" s="2875" t="s">
        <v>2941</v>
      </c>
      <c r="B85" s="1727">
        <f>估价对象房地状况!G19</f>
        <v>0</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4">
      <c r="A86" s="2875" t="s">
        <v>2942</v>
      </c>
      <c r="B86" s="1727">
        <f>估价对象房地状况!G20</f>
        <v>0</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2939</v>
      </c>
      <c r="B87" s="2881" t="s">
        <v>2953</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15" thickBot="1">
      <c r="A88" s="2883" t="s">
        <v>2954</v>
      </c>
      <c r="B88" s="2888">
        <f>估价对象房地状况!G18</f>
        <v>0</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25" t="s">
        <v>2955</v>
      </c>
      <c r="B90" s="3325"/>
      <c r="C90" s="3325"/>
      <c r="D90" s="3325"/>
      <c r="E90" s="3325"/>
      <c r="F90" s="3325"/>
      <c r="G90" s="3325"/>
      <c r="H90" s="3325"/>
      <c r="I90" s="3325"/>
      <c r="J90" s="3325"/>
      <c r="K90" s="2889"/>
      <c r="L90" s="2889"/>
      <c r="M90" s="2889"/>
      <c r="N90" s="2889"/>
    </row>
    <row r="91" spans="1:37">
      <c r="A91" s="3327" t="s">
        <v>2956</v>
      </c>
      <c r="B91" s="3327" t="s">
        <v>2957</v>
      </c>
      <c r="C91" s="2843" t="s">
        <v>2958</v>
      </c>
      <c r="D91" s="2844"/>
      <c r="E91" s="2844"/>
      <c r="F91" s="2844"/>
      <c r="G91" s="2844"/>
      <c r="H91" s="2844"/>
      <c r="I91" s="2844"/>
      <c r="J91" s="2890"/>
      <c r="K91" s="2891"/>
      <c r="L91" s="2891"/>
      <c r="M91" s="2891"/>
      <c r="N91" s="2891"/>
    </row>
    <row r="92" spans="1:37">
      <c r="A92" s="3327"/>
      <c r="B92" s="3327"/>
      <c r="C92" s="943" t="s">
        <v>2822</v>
      </c>
      <c r="D92" s="943" t="s">
        <v>2823</v>
      </c>
      <c r="E92" s="943" t="s">
        <v>2824</v>
      </c>
      <c r="F92" s="943" t="s">
        <v>2825</v>
      </c>
      <c r="G92" s="943" t="s">
        <v>2826</v>
      </c>
      <c r="H92" s="943" t="s">
        <v>2827</v>
      </c>
      <c r="I92" s="943" t="s">
        <v>2828</v>
      </c>
      <c r="J92" s="943" t="s">
        <v>2829</v>
      </c>
      <c r="K92" s="943" t="s">
        <v>2830</v>
      </c>
      <c r="L92" s="943" t="s">
        <v>2831</v>
      </c>
      <c r="M92" s="943" t="s">
        <v>2832</v>
      </c>
      <c r="N92" s="943" t="s">
        <v>2833</v>
      </c>
    </row>
    <row r="93" spans="1:37">
      <c r="A93" s="3328" t="s">
        <v>2959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9"/>
      <c r="B99" s="2892" t="s">
        <v>2838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3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8" t="s">
        <v>2960</v>
      </c>
      <c r="B101" s="2896" t="s">
        <v>2961</v>
      </c>
      <c r="C101" s="2897">
        <f>$G$3</f>
        <v>3.21</v>
      </c>
      <c r="D101" s="2897">
        <f t="shared" ref="D101:N101" si="31">$G$3</f>
        <v>3.21</v>
      </c>
      <c r="E101" s="2897">
        <f t="shared" si="31"/>
        <v>3.21</v>
      </c>
      <c r="F101" s="2897">
        <f t="shared" si="31"/>
        <v>3.21</v>
      </c>
      <c r="G101" s="2897">
        <f t="shared" si="31"/>
        <v>3.21</v>
      </c>
      <c r="H101" s="2897">
        <f t="shared" si="31"/>
        <v>3.21</v>
      </c>
      <c r="I101" s="2897">
        <f t="shared" si="31"/>
        <v>3.21</v>
      </c>
      <c r="J101" s="2897">
        <f t="shared" si="31"/>
        <v>3.21</v>
      </c>
      <c r="K101" s="2897">
        <f t="shared" si="31"/>
        <v>3.21</v>
      </c>
      <c r="L101" s="2897">
        <f t="shared" si="31"/>
        <v>3.21</v>
      </c>
      <c r="M101" s="2897">
        <f t="shared" si="31"/>
        <v>3.21</v>
      </c>
      <c r="N101" s="2897">
        <f t="shared" si="31"/>
        <v>3.21</v>
      </c>
    </row>
    <row r="102" spans="1:14">
      <c r="A102" s="3329"/>
      <c r="B102" s="2892">
        <v>1</v>
      </c>
      <c r="C102" s="2893">
        <f>1.9362/C101</f>
        <v>0.60317757009345796</v>
      </c>
      <c r="D102" s="2893">
        <f>1.9362/D101</f>
        <v>0.60317757009345796</v>
      </c>
      <c r="E102" s="2893">
        <f>1.8629/E101</f>
        <v>0.58034267912772586</v>
      </c>
      <c r="F102" s="2893">
        <f>1.8629/F101</f>
        <v>0.58034267912772586</v>
      </c>
      <c r="G102" s="2893">
        <f>1.8629/G101</f>
        <v>0.58034267912772586</v>
      </c>
      <c r="H102" s="2893">
        <f>1.8629/H101</f>
        <v>0.58034267912772586</v>
      </c>
      <c r="I102" s="2893">
        <f>1.8629/I101</f>
        <v>0.58034267912772586</v>
      </c>
      <c r="J102" s="2893">
        <f>1.942/J101</f>
        <v>0.60498442367601246</v>
      </c>
      <c r="K102" s="2893">
        <f>1.942/K101</f>
        <v>0.60498442367601246</v>
      </c>
      <c r="L102" s="2893">
        <f>1.942/L101</f>
        <v>0.60498442367601246</v>
      </c>
      <c r="M102" s="2893">
        <f>1.942/M101</f>
        <v>0.60498442367601246</v>
      </c>
      <c r="N102" s="2893">
        <f>1.942/N101</f>
        <v>0.60498442367601246</v>
      </c>
    </row>
    <row r="103" spans="1:14">
      <c r="A103" s="3329"/>
      <c r="B103" s="2892">
        <v>2</v>
      </c>
      <c r="C103" s="2893">
        <f>1.4198/C101</f>
        <v>0.44230529595015577</v>
      </c>
      <c r="D103" s="2893">
        <f>1.4198/D101</f>
        <v>0.44230529595015577</v>
      </c>
      <c r="E103" s="2893">
        <f>1.3372/E101</f>
        <v>0.41657320872274139</v>
      </c>
      <c r="F103" s="2893">
        <f>1.3372/F101</f>
        <v>0.41657320872274139</v>
      </c>
      <c r="G103" s="2893">
        <f>1.3372/G101</f>
        <v>0.41657320872274139</v>
      </c>
      <c r="H103" s="2893">
        <f>1.3372/H101</f>
        <v>0.41657320872274139</v>
      </c>
      <c r="I103" s="2893">
        <f>1.3372/I101</f>
        <v>0.41657320872274139</v>
      </c>
      <c r="J103" s="2893">
        <f>1.2799/J101</f>
        <v>0.39872274143302183</v>
      </c>
      <c r="K103" s="2893">
        <f>1.2799/K101</f>
        <v>0.39872274143302183</v>
      </c>
      <c r="L103" s="2893">
        <f>1.2799/L101</f>
        <v>0.39872274143302183</v>
      </c>
      <c r="M103" s="2893">
        <f>1.2799/M101</f>
        <v>0.39872274143302183</v>
      </c>
      <c r="N103" s="2893">
        <f>1.2799/N101</f>
        <v>0.39872274143302183</v>
      </c>
    </row>
    <row r="104" spans="1:14">
      <c r="A104" s="3329"/>
      <c r="B104" s="2892">
        <v>3</v>
      </c>
      <c r="C104" s="2893">
        <f>1.1594/C101</f>
        <v>0.36118380062305294</v>
      </c>
      <c r="D104" s="2893">
        <f>1.1594/D101</f>
        <v>0.36118380062305294</v>
      </c>
      <c r="E104" s="2893">
        <f>1.0788/E101</f>
        <v>0.33607476635514016</v>
      </c>
      <c r="F104" s="2893">
        <f>1.0788/F101</f>
        <v>0.33607476635514016</v>
      </c>
      <c r="G104" s="2893">
        <f>1.0788/G101</f>
        <v>0.33607476635514016</v>
      </c>
      <c r="H104" s="2893">
        <f>1.0788/H101</f>
        <v>0.33607476635514016</v>
      </c>
      <c r="I104" s="2893">
        <f>1.0788/I101</f>
        <v>0.33607476635514016</v>
      </c>
      <c r="J104" s="2893">
        <f>1.0072/J101</f>
        <v>0.31376947040498443</v>
      </c>
      <c r="K104" s="2893">
        <f>1.0072/K101</f>
        <v>0.31376947040498443</v>
      </c>
      <c r="L104" s="2893">
        <f>1.0072/L101</f>
        <v>0.31376947040498443</v>
      </c>
      <c r="M104" s="2893">
        <f>1.0072/M101</f>
        <v>0.31376947040498443</v>
      </c>
      <c r="N104" s="2893">
        <f>1.0072/N101</f>
        <v>0.31376947040498443</v>
      </c>
    </row>
    <row r="105" spans="1:14">
      <c r="A105" s="3329"/>
      <c r="B105" s="2892">
        <v>4</v>
      </c>
      <c r="C105" s="2893">
        <f>0.9622/C101</f>
        <v>0.29975077881619938</v>
      </c>
      <c r="D105" s="2893">
        <f>0.9622/D101</f>
        <v>0.29975077881619938</v>
      </c>
      <c r="E105" s="2893">
        <f>0.8656/E101</f>
        <v>0.26965732087227418</v>
      </c>
      <c r="F105" s="2893">
        <f>0.8656/F101</f>
        <v>0.26965732087227418</v>
      </c>
      <c r="G105" s="2893">
        <f>0.8656/G101</f>
        <v>0.26965732087227418</v>
      </c>
      <c r="H105" s="2893">
        <f>0.8656/H101</f>
        <v>0.26965732087227418</v>
      </c>
      <c r="I105" s="2893">
        <f>0.8656/I101</f>
        <v>0.26965732087227418</v>
      </c>
      <c r="J105" s="2893">
        <f>0.7525/J101</f>
        <v>0.23442367601246106</v>
      </c>
      <c r="K105" s="2893">
        <f>0.7525/K101</f>
        <v>0.23442367601246106</v>
      </c>
      <c r="L105" s="2893">
        <f>0.7525/L101</f>
        <v>0.23442367601246106</v>
      </c>
      <c r="M105" s="2893">
        <f>0.7525/M101</f>
        <v>0.23442367601246106</v>
      </c>
      <c r="N105" s="2893">
        <f>0.7525/N101</f>
        <v>0.23442367601246106</v>
      </c>
    </row>
    <row r="106" spans="1:14">
      <c r="A106" s="3329"/>
      <c r="B106" s="2892">
        <v>5</v>
      </c>
      <c r="C106" s="2893">
        <f>0.8417/C101</f>
        <v>0.26221183800623055</v>
      </c>
      <c r="D106" s="2893">
        <f>0.8417/D101</f>
        <v>0.26221183800623055</v>
      </c>
      <c r="E106" s="2893">
        <f>0.7371/E101</f>
        <v>0.22962616822429907</v>
      </c>
      <c r="F106" s="2893">
        <f>0.7371/F101</f>
        <v>0.22962616822429907</v>
      </c>
      <c r="G106" s="2893">
        <f>0.7371/G101</f>
        <v>0.22962616822429907</v>
      </c>
      <c r="H106" s="2893">
        <f>0.7371/H101</f>
        <v>0.22962616822429907</v>
      </c>
      <c r="I106" s="2893">
        <f>0.7371/I101</f>
        <v>0.22962616822429907</v>
      </c>
      <c r="J106" s="2893">
        <f>0.5659/J101</f>
        <v>0.17629283489096573</v>
      </c>
      <c r="K106" s="2893">
        <f>0.5659/K101</f>
        <v>0.17629283489096573</v>
      </c>
      <c r="L106" s="2893">
        <f>0.5659/L101</f>
        <v>0.17629283489096573</v>
      </c>
      <c r="M106" s="2893">
        <f>0.5659/M101</f>
        <v>0.17629283489096573</v>
      </c>
      <c r="N106" s="2893">
        <f>0.5659/N101</f>
        <v>0.17629283489096573</v>
      </c>
    </row>
    <row r="107" spans="1:14">
      <c r="A107" s="3329"/>
      <c r="B107" s="2892">
        <v>6</v>
      </c>
      <c r="C107" s="2893">
        <f>0.7608/C101</f>
        <v>0.23700934579439253</v>
      </c>
      <c r="D107" s="2893">
        <f>0.7608/D101</f>
        <v>0.23700934579439253</v>
      </c>
      <c r="E107" s="2893">
        <f>0.6482/E101</f>
        <v>0.20193146417445482</v>
      </c>
      <c r="F107" s="2893">
        <f>0.6482/F101</f>
        <v>0.20193146417445482</v>
      </c>
      <c r="G107" s="2893">
        <f>0.6482/G101</f>
        <v>0.20193146417445482</v>
      </c>
      <c r="H107" s="2893">
        <f>0.6482/H101</f>
        <v>0.20193146417445482</v>
      </c>
      <c r="I107" s="2893">
        <f>0.6482/I101</f>
        <v>0.20193146417445482</v>
      </c>
      <c r="J107" s="2893">
        <f>0.4525/J101</f>
        <v>0.14096573208722743</v>
      </c>
      <c r="K107" s="2893">
        <f>0.4525/K101</f>
        <v>0.14096573208722743</v>
      </c>
      <c r="L107" s="2893">
        <f>0.4525/L101</f>
        <v>0.14096573208722743</v>
      </c>
      <c r="M107" s="2893">
        <f>0.4525/M101</f>
        <v>0.14096573208722743</v>
      </c>
      <c r="N107" s="2893">
        <f>0.4525/N101</f>
        <v>0.14096573208722743</v>
      </c>
    </row>
    <row r="108" spans="1:14">
      <c r="A108" s="3329"/>
      <c r="B108" s="3163" t="s">
        <v>2962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30"/>
      <c r="B109" s="3164"/>
      <c r="C109" s="2895">
        <f>(-0.163*(C108^2)-0.59*C108+7617)*(10^(-4))/C101</f>
        <v>0.23728971962616824</v>
      </c>
      <c r="D109" s="2895">
        <f>(-0.163*(D108^2)-0.59*D108+7617)*(10^(-4))/D101</f>
        <v>0.23728971962616824</v>
      </c>
      <c r="E109" s="2895">
        <f>(-0.161*(E108^2)-7.509*E108+6533)*(10^(-4))/E101</f>
        <v>0.20352024922118381</v>
      </c>
      <c r="F109" s="2895">
        <f>(-0.161*(F108^2)-7.509*F108+6533)*(10^(-4))/F101</f>
        <v>0.20352024922118381</v>
      </c>
      <c r="G109" s="2895">
        <f>(-0.161*(G108^2)-7.509*G108+6533)*(10^(-4))/G101</f>
        <v>0.20352024922118381</v>
      </c>
      <c r="H109" s="2895">
        <f>(-0.161*(H108^2)-7.509*H108+6533)*(10^(-4))/H101</f>
        <v>0.20352024922118381</v>
      </c>
      <c r="I109" s="2895">
        <f>(-0.161*(I108^2)-7.509*I108+6533)*(10^(-4))/I101</f>
        <v>0.20352024922118381</v>
      </c>
      <c r="J109" s="2895">
        <f>(-0.214*(J108^2)-21.991*J108+4665)*(10^(-4))/J101</f>
        <v>0.14532710280373834</v>
      </c>
      <c r="K109" s="2895">
        <f>(-0.214*(K108^2)-21.991*K108+4665)*(10^(-4))/K101</f>
        <v>0.14532710280373834</v>
      </c>
      <c r="L109" s="2895">
        <f>(-0.214*(L108^2)-21.991*L108+4665)*(10^(-4))/L101</f>
        <v>0.14532710280373834</v>
      </c>
      <c r="M109" s="2895">
        <f>(-0.214*(M108^2)-21.991*M108+4665)*(10^(-4))/M101</f>
        <v>0.14532710280373834</v>
      </c>
      <c r="N109" s="2895">
        <f>(-0.214*(N108^2)-21.991*N108+4665)*(10^(-4))/N101</f>
        <v>0.14532710280373834</v>
      </c>
    </row>
    <row r="110" spans="1:14">
      <c r="A110" s="3326" t="s">
        <v>2963</v>
      </c>
      <c r="B110" s="3326"/>
      <c r="C110" s="3326"/>
      <c r="D110" s="3326"/>
      <c r="E110" s="3326"/>
      <c r="F110" s="3326"/>
      <c r="G110" s="3326"/>
      <c r="H110" s="3326"/>
      <c r="I110" s="3326"/>
      <c r="J110" s="3326"/>
      <c r="K110" s="2898"/>
      <c r="L110" s="2898"/>
      <c r="M110" s="2898"/>
      <c r="N110" s="2898"/>
    </row>
    <row r="112" spans="1:14" ht="13.5" thickBot="1"/>
    <row r="113" spans="1:13" ht="25.5" thickBot="1">
      <c r="A113" s="901" t="s">
        <v>2964</v>
      </c>
      <c r="B113" s="1288">
        <f>G3</f>
        <v>3.21</v>
      </c>
      <c r="C113" s="902" t="s">
        <v>2965</v>
      </c>
      <c r="D113" s="903">
        <f>SUMPRODUCT((A115:A118=F113)*(B114:M114=H113)*B115:M118)</f>
        <v>0</v>
      </c>
      <c r="E113" s="2721" t="s">
        <v>2795</v>
      </c>
      <c r="F113" s="2900">
        <f>E2</f>
        <v>0</v>
      </c>
      <c r="G113" s="2721" t="s">
        <v>2796</v>
      </c>
      <c r="H113" s="2900">
        <f>G2</f>
        <v>0</v>
      </c>
      <c r="I113" s="2721"/>
      <c r="J113" s="2901"/>
      <c r="K113" s="2901"/>
      <c r="L113" s="2901"/>
      <c r="M113" s="2901"/>
    </row>
    <row r="114" spans="1:13">
      <c r="A114" s="906"/>
      <c r="B114" s="2902" t="s">
        <v>2966</v>
      </c>
      <c r="C114" s="2902" t="s">
        <v>2967</v>
      </c>
      <c r="D114" s="2902" t="s">
        <v>2968</v>
      </c>
      <c r="E114" s="2903" t="s">
        <v>2969</v>
      </c>
      <c r="F114" s="2903" t="s">
        <v>2970</v>
      </c>
      <c r="G114" s="2903" t="s">
        <v>2971</v>
      </c>
      <c r="H114" s="2904" t="s">
        <v>2972</v>
      </c>
      <c r="I114" s="2904" t="s">
        <v>2973</v>
      </c>
      <c r="J114" s="2905" t="s">
        <v>2974</v>
      </c>
      <c r="K114" s="2905" t="s">
        <v>2975</v>
      </c>
      <c r="L114" s="2905" t="s">
        <v>2976</v>
      </c>
      <c r="M114" s="2906" t="s">
        <v>2977</v>
      </c>
    </row>
    <row r="115" spans="1:13">
      <c r="A115" s="907" t="s">
        <v>2860</v>
      </c>
      <c r="B115" s="908">
        <f>ROUND(0.9335-0.0094*B113,4)</f>
        <v>0.90329999999999999</v>
      </c>
      <c r="C115" s="908">
        <f>B115</f>
        <v>0.90329999999999999</v>
      </c>
      <c r="D115" s="908">
        <f>ROUND(0.8331-0.0109*B113,4)</f>
        <v>0.79810000000000003</v>
      </c>
      <c r="E115" s="908">
        <f>D115</f>
        <v>0.79810000000000003</v>
      </c>
      <c r="F115" s="908">
        <f>E115</f>
        <v>0.79810000000000003</v>
      </c>
      <c r="G115" s="908">
        <f>F115</f>
        <v>0.79810000000000003</v>
      </c>
      <c r="H115" s="908">
        <f>G115</f>
        <v>0.79810000000000003</v>
      </c>
      <c r="I115" s="908">
        <f>ROUND(0.689-0.0155*B113,4)</f>
        <v>0.63919999999999999</v>
      </c>
      <c r="J115" s="908">
        <f t="shared" ref="J115:M118" si="33">I115</f>
        <v>0.63919999999999999</v>
      </c>
      <c r="K115" s="908">
        <f t="shared" si="33"/>
        <v>0.63919999999999999</v>
      </c>
      <c r="L115" s="908">
        <f t="shared" si="33"/>
        <v>0.63919999999999999</v>
      </c>
      <c r="M115" s="909">
        <f t="shared" si="33"/>
        <v>0.63919999999999999</v>
      </c>
    </row>
    <row r="116" spans="1:13">
      <c r="A116" s="907" t="s">
        <v>2861</v>
      </c>
      <c r="B116" s="908">
        <f>ROUND(0.949-0.012*B113,4)</f>
        <v>0.91049999999999998</v>
      </c>
      <c r="C116" s="908">
        <f>B116</f>
        <v>0.91049999999999998</v>
      </c>
      <c r="D116" s="908">
        <f>ROUND(0.8567-0.013*B113,4)</f>
        <v>0.81499999999999995</v>
      </c>
      <c r="E116" s="908">
        <f t="shared" ref="E116:H117" si="34">D116</f>
        <v>0.81499999999999995</v>
      </c>
      <c r="F116" s="908">
        <f t="shared" si="34"/>
        <v>0.81499999999999995</v>
      </c>
      <c r="G116" s="908">
        <f t="shared" si="34"/>
        <v>0.81499999999999995</v>
      </c>
      <c r="H116" s="908">
        <f t="shared" si="34"/>
        <v>0.81499999999999995</v>
      </c>
      <c r="I116" s="908">
        <f>ROUND(0.7694-0.014*B113,4)</f>
        <v>0.72450000000000003</v>
      </c>
      <c r="J116" s="908">
        <f t="shared" si="33"/>
        <v>0.72450000000000003</v>
      </c>
      <c r="K116" s="908">
        <f t="shared" si="33"/>
        <v>0.72450000000000003</v>
      </c>
      <c r="L116" s="908">
        <f t="shared" si="33"/>
        <v>0.72450000000000003</v>
      </c>
      <c r="M116" s="909">
        <f t="shared" si="33"/>
        <v>0.72450000000000003</v>
      </c>
    </row>
    <row r="117" spans="1:13">
      <c r="A117" s="907" t="s">
        <v>2862</v>
      </c>
      <c r="B117" s="908">
        <f>ROUND(0.8808-0.006*B113,4)</f>
        <v>0.86150000000000004</v>
      </c>
      <c r="C117" s="908">
        <f>B117</f>
        <v>0.86150000000000004</v>
      </c>
      <c r="D117" s="908">
        <f>ROUND(0.8748-0.008*B113,4)</f>
        <v>0.84909999999999997</v>
      </c>
      <c r="E117" s="908">
        <f t="shared" si="34"/>
        <v>0.84909999999999997</v>
      </c>
      <c r="F117" s="908">
        <f t="shared" si="34"/>
        <v>0.84909999999999997</v>
      </c>
      <c r="G117" s="908">
        <f t="shared" si="34"/>
        <v>0.84909999999999997</v>
      </c>
      <c r="H117" s="908">
        <f t="shared" si="34"/>
        <v>0.84909999999999997</v>
      </c>
      <c r="I117" s="908">
        <f>ROUND(0.7412-0.0095*B113,4)</f>
        <v>0.7107</v>
      </c>
      <c r="J117" s="908">
        <f t="shared" si="33"/>
        <v>0.7107</v>
      </c>
      <c r="K117" s="908">
        <f t="shared" si="33"/>
        <v>0.7107</v>
      </c>
      <c r="L117" s="908">
        <f t="shared" si="33"/>
        <v>0.7107</v>
      </c>
      <c r="M117" s="909">
        <f t="shared" si="33"/>
        <v>0.7107</v>
      </c>
    </row>
    <row r="118" spans="1:13" ht="13.5" thickBot="1">
      <c r="A118" s="713" t="s">
        <v>2863</v>
      </c>
      <c r="B118" s="910">
        <f>ROUND(0.7275-0.01*B113,4)</f>
        <v>0.69540000000000002</v>
      </c>
      <c r="C118" s="910">
        <f>B118</f>
        <v>0.69540000000000002</v>
      </c>
      <c r="D118" s="910">
        <f>ROUND(0.7043-0.012*B113,4)</f>
        <v>0.66579999999999995</v>
      </c>
      <c r="E118" s="910">
        <f>D118</f>
        <v>0.66579999999999995</v>
      </c>
      <c r="F118" s="910">
        <f>E118</f>
        <v>0.66579999999999995</v>
      </c>
      <c r="G118" s="910">
        <f>ROUND(0.6299-0.0122*B113,4)</f>
        <v>0.5907</v>
      </c>
      <c r="H118" s="910">
        <f>G118</f>
        <v>0.5907</v>
      </c>
      <c r="I118" s="910">
        <f>ROUND(0.5667-0.0136*B113,4)</f>
        <v>0.52300000000000002</v>
      </c>
      <c r="J118" s="910">
        <f t="shared" si="33"/>
        <v>0.52300000000000002</v>
      </c>
      <c r="K118" s="910">
        <f t="shared" si="33"/>
        <v>0.52300000000000002</v>
      </c>
      <c r="L118" s="910">
        <f t="shared" si="33"/>
        <v>0.52300000000000002</v>
      </c>
      <c r="M118" s="911">
        <f t="shared" si="33"/>
        <v>0.52300000000000002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34" t="s">
        <v>183</v>
      </c>
      <c r="B18" s="880" t="s">
        <v>560</v>
      </c>
      <c r="C18" s="881" t="s">
        <v>561</v>
      </c>
      <c r="D18" s="882"/>
      <c r="E18" s="880">
        <v>1</v>
      </c>
      <c r="F18" s="883" t="s">
        <v>562</v>
      </c>
      <c r="G18" s="884"/>
      <c r="H18" s="876"/>
      <c r="I18" s="876"/>
    </row>
    <row r="19" spans="1:9" s="885" customFormat="1" ht="19.5" customHeight="1">
      <c r="A19" s="3334"/>
      <c r="B19" s="3334" t="s">
        <v>563</v>
      </c>
      <c r="C19" s="881" t="s">
        <v>564</v>
      </c>
      <c r="D19" s="882"/>
      <c r="E19" s="880">
        <v>0.9</v>
      </c>
      <c r="F19" s="883" t="s">
        <v>565</v>
      </c>
      <c r="G19" s="884"/>
      <c r="H19" s="876"/>
      <c r="I19" s="876"/>
    </row>
    <row r="20" spans="1:9" s="885" customFormat="1" ht="19.5" customHeight="1">
      <c r="A20" s="3334"/>
      <c r="B20" s="3334"/>
      <c r="C20" s="881" t="s">
        <v>566</v>
      </c>
      <c r="D20" s="882"/>
      <c r="E20" s="880">
        <v>1.1000000000000001</v>
      </c>
      <c r="F20" s="883" t="s">
        <v>567</v>
      </c>
      <c r="G20" s="884"/>
      <c r="H20" s="876"/>
      <c r="I20" s="876"/>
    </row>
    <row r="21" spans="1:9" s="885" customFormat="1" ht="19.5" customHeight="1">
      <c r="A21" s="3334"/>
      <c r="B21" s="3334"/>
      <c r="C21" s="881" t="s">
        <v>568</v>
      </c>
      <c r="D21" s="882"/>
      <c r="E21" s="880">
        <v>0.8</v>
      </c>
      <c r="F21" s="883" t="s">
        <v>569</v>
      </c>
      <c r="G21" s="884"/>
      <c r="H21" s="876"/>
      <c r="I21" s="876"/>
    </row>
    <row r="22" spans="1:9" s="885" customFormat="1" ht="19.5" customHeight="1">
      <c r="A22" s="3334"/>
      <c r="B22" s="3334"/>
      <c r="C22" s="881" t="s">
        <v>570</v>
      </c>
      <c r="D22" s="882"/>
      <c r="E22" s="880">
        <v>0.5</v>
      </c>
      <c r="F22" s="883"/>
      <c r="G22" s="884"/>
      <c r="H22" s="876"/>
      <c r="I22" s="876"/>
    </row>
    <row r="23" spans="1:9" s="885" customFormat="1" ht="19.5" customHeight="1">
      <c r="A23" s="3334" t="s">
        <v>184</v>
      </c>
      <c r="B23" s="880" t="s">
        <v>560</v>
      </c>
      <c r="C23" s="881" t="s">
        <v>571</v>
      </c>
      <c r="D23" s="882"/>
      <c r="E23" s="880">
        <v>1</v>
      </c>
      <c r="F23" s="883" t="s">
        <v>572</v>
      </c>
      <c r="G23" s="884"/>
      <c r="H23" s="876"/>
      <c r="I23" s="876"/>
    </row>
    <row r="24" spans="1:9" s="885" customFormat="1" ht="19.5" customHeight="1">
      <c r="A24" s="3334"/>
      <c r="B24" s="3334" t="s">
        <v>563</v>
      </c>
      <c r="C24" s="881" t="s">
        <v>573</v>
      </c>
      <c r="D24" s="882"/>
      <c r="E24" s="880">
        <v>0.5</v>
      </c>
      <c r="F24" s="883"/>
      <c r="G24" s="884"/>
      <c r="H24" s="876"/>
      <c r="I24" s="876"/>
    </row>
    <row r="25" spans="1:9" s="885" customFormat="1" ht="19.5" customHeight="1">
      <c r="A25" s="3334"/>
      <c r="B25" s="3334"/>
      <c r="C25" s="881" t="s">
        <v>574</v>
      </c>
      <c r="D25" s="882"/>
      <c r="E25" s="880">
        <v>1.1000000000000001</v>
      </c>
      <c r="F25" s="883"/>
      <c r="G25" s="884"/>
      <c r="H25" s="876"/>
      <c r="I25" s="876"/>
    </row>
    <row r="26" spans="1:9" s="885" customFormat="1" ht="19.5" customHeight="1">
      <c r="A26" s="3334"/>
      <c r="B26" s="3334"/>
      <c r="C26" s="881" t="s">
        <v>575</v>
      </c>
      <c r="D26" s="882"/>
      <c r="E26" s="880">
        <v>1.1000000000000001</v>
      </c>
      <c r="F26" s="883"/>
      <c r="G26" s="884"/>
      <c r="H26" s="876"/>
      <c r="I26" s="876"/>
    </row>
    <row r="27" spans="1:9" s="885" customFormat="1" ht="19.5" customHeight="1">
      <c r="A27" s="3334"/>
      <c r="B27" s="3334"/>
      <c r="C27" s="881" t="s">
        <v>576</v>
      </c>
      <c r="D27" s="882"/>
      <c r="E27" s="880">
        <v>0.9</v>
      </c>
      <c r="F27" s="883" t="s">
        <v>577</v>
      </c>
      <c r="G27" s="884"/>
      <c r="H27" s="876"/>
      <c r="I27" s="876"/>
    </row>
    <row r="28" spans="1:9" s="885" customFormat="1" ht="19.5" customHeight="1">
      <c r="A28" s="3334"/>
      <c r="B28" s="3334"/>
      <c r="C28" s="881" t="s">
        <v>578</v>
      </c>
      <c r="D28" s="882"/>
      <c r="E28" s="880">
        <v>0.9</v>
      </c>
      <c r="F28" s="883" t="s">
        <v>579</v>
      </c>
      <c r="G28" s="884"/>
      <c r="H28" s="876"/>
      <c r="I28" s="876"/>
    </row>
    <row r="29" spans="1:9" s="885" customFormat="1" ht="19.5" customHeight="1">
      <c r="A29" s="3334"/>
      <c r="B29" s="3334"/>
      <c r="C29" s="881" t="s">
        <v>580</v>
      </c>
      <c r="D29" s="882"/>
      <c r="E29" s="880">
        <v>0.9</v>
      </c>
      <c r="F29" s="883" t="s">
        <v>581</v>
      </c>
      <c r="G29" s="884"/>
      <c r="H29" s="876"/>
      <c r="I29" s="876"/>
    </row>
    <row r="30" spans="1:9" s="885" customFormat="1" ht="19.5" customHeight="1">
      <c r="A30" s="3334"/>
      <c r="B30" s="3334"/>
      <c r="C30" s="881" t="s">
        <v>582</v>
      </c>
      <c r="D30" s="882"/>
      <c r="E30" s="880">
        <v>0.9</v>
      </c>
      <c r="F30" s="883" t="s">
        <v>583</v>
      </c>
      <c r="G30" s="884"/>
      <c r="H30" s="876"/>
      <c r="I30" s="876"/>
    </row>
    <row r="31" spans="1:9" s="885" customFormat="1" ht="19.5" customHeight="1">
      <c r="A31" s="3334"/>
      <c r="B31" s="3334"/>
      <c r="C31" s="881" t="s">
        <v>584</v>
      </c>
      <c r="D31" s="882"/>
      <c r="E31" s="880">
        <v>0.8</v>
      </c>
      <c r="F31" s="883" t="s">
        <v>585</v>
      </c>
      <c r="G31" s="884"/>
      <c r="H31" s="876"/>
      <c r="I31" s="876"/>
    </row>
    <row r="32" spans="1:9" s="885" customFormat="1" ht="19.5" customHeight="1">
      <c r="A32" s="3334"/>
      <c r="B32" s="3334"/>
      <c r="C32" s="881" t="s">
        <v>586</v>
      </c>
      <c r="D32" s="882"/>
      <c r="E32" s="880">
        <v>0.8</v>
      </c>
      <c r="F32" s="883" t="s">
        <v>587</v>
      </c>
      <c r="G32" s="884"/>
      <c r="H32" s="876"/>
      <c r="I32" s="876"/>
    </row>
    <row r="33" spans="1:9" s="885" customFormat="1" ht="19.5" customHeight="1">
      <c r="A33" s="3334" t="s">
        <v>185</v>
      </c>
      <c r="B33" s="880" t="s">
        <v>560</v>
      </c>
      <c r="C33" s="881" t="s">
        <v>588</v>
      </c>
      <c r="D33" s="882"/>
      <c r="E33" s="880">
        <v>1</v>
      </c>
      <c r="F33" s="883" t="s">
        <v>589</v>
      </c>
      <c r="G33" s="884"/>
      <c r="H33" s="876"/>
      <c r="I33" s="876"/>
    </row>
    <row r="34" spans="1:9" s="885" customFormat="1" ht="19.5" customHeight="1">
      <c r="A34" s="3334"/>
      <c r="B34" s="880" t="s">
        <v>563</v>
      </c>
      <c r="C34" s="881" t="s">
        <v>590</v>
      </c>
      <c r="D34" s="882"/>
      <c r="E34" s="880">
        <v>1.5</v>
      </c>
      <c r="F34" s="883" t="s">
        <v>591</v>
      </c>
      <c r="G34" s="884"/>
      <c r="H34" s="876"/>
      <c r="I34" s="876"/>
    </row>
    <row r="35" spans="1:9" s="885" customFormat="1" ht="19.5" customHeight="1">
      <c r="A35" s="3334" t="s">
        <v>186</v>
      </c>
      <c r="B35" s="880" t="s">
        <v>560</v>
      </c>
      <c r="C35" s="881" t="s">
        <v>592</v>
      </c>
      <c r="D35" s="882"/>
      <c r="E35" s="880">
        <v>1</v>
      </c>
      <c r="F35" s="883" t="s">
        <v>593</v>
      </c>
      <c r="G35" s="884"/>
      <c r="H35" s="876"/>
      <c r="I35" s="876"/>
    </row>
    <row r="36" spans="1:9" s="885" customFormat="1" ht="19.5" customHeight="1">
      <c r="A36" s="3334"/>
      <c r="B36" s="3334" t="s">
        <v>563</v>
      </c>
      <c r="C36" s="881" t="s">
        <v>594</v>
      </c>
      <c r="D36" s="882"/>
      <c r="E36" s="880">
        <v>1</v>
      </c>
      <c r="F36" s="883" t="s">
        <v>595</v>
      </c>
      <c r="G36" s="884"/>
      <c r="H36" s="876"/>
      <c r="I36" s="876"/>
    </row>
    <row r="37" spans="1:9" s="885" customFormat="1" ht="19.5" customHeight="1">
      <c r="A37" s="3334"/>
      <c r="B37" s="3334"/>
      <c r="C37" s="881" t="s">
        <v>596</v>
      </c>
      <c r="D37" s="882"/>
      <c r="E37" s="880">
        <v>1.5</v>
      </c>
      <c r="F37" s="883" t="s">
        <v>597</v>
      </c>
      <c r="G37" s="884"/>
      <c r="H37" s="876"/>
      <c r="I37" s="876"/>
    </row>
    <row r="38" spans="1:9" s="885" customFormat="1" ht="19.5" customHeight="1">
      <c r="A38" s="3334"/>
      <c r="B38" s="3334"/>
      <c r="C38" s="881" t="s">
        <v>598</v>
      </c>
      <c r="D38" s="882"/>
      <c r="E38" s="880">
        <v>1</v>
      </c>
      <c r="F38" s="883" t="s">
        <v>599</v>
      </c>
      <c r="G38" s="884"/>
      <c r="H38" s="876"/>
      <c r="I38" s="876"/>
    </row>
    <row r="39" spans="1:9" s="885" customFormat="1" ht="19.5" customHeight="1">
      <c r="A39" s="3334"/>
      <c r="B39" s="333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4" t="s">
        <v>614</v>
      </c>
      <c r="C61" s="816" t="s">
        <v>615</v>
      </c>
      <c r="D61" s="816" t="s">
        <v>616</v>
      </c>
      <c r="E61" s="893">
        <v>0.5</v>
      </c>
      <c r="F61" s="880">
        <v>80</v>
      </c>
    </row>
    <row r="62" spans="1:8" s="876" customFormat="1" ht="24">
      <c r="A62" s="880">
        <v>2</v>
      </c>
      <c r="B62" s="3334"/>
      <c r="C62" s="816" t="s">
        <v>617</v>
      </c>
      <c r="D62" s="816" t="s">
        <v>618</v>
      </c>
      <c r="E62" s="893">
        <v>0.5</v>
      </c>
      <c r="F62" s="880">
        <v>80</v>
      </c>
    </row>
    <row r="63" spans="1:8" s="876" customFormat="1" ht="36">
      <c r="A63" s="880">
        <v>3</v>
      </c>
      <c r="B63" s="3334"/>
      <c r="C63" s="816" t="s">
        <v>619</v>
      </c>
      <c r="D63" s="816" t="s">
        <v>620</v>
      </c>
      <c r="E63" s="893">
        <v>0.5</v>
      </c>
      <c r="F63" s="880">
        <v>80</v>
      </c>
    </row>
    <row r="64" spans="1:8" s="876" customFormat="1" ht="36">
      <c r="A64" s="880">
        <v>4</v>
      </c>
      <c r="B64" s="3334"/>
      <c r="C64" s="816" t="s">
        <v>621</v>
      </c>
      <c r="D64" s="816" t="s">
        <v>622</v>
      </c>
      <c r="E64" s="893">
        <v>0.4</v>
      </c>
      <c r="F64" s="880">
        <v>60</v>
      </c>
    </row>
    <row r="65" spans="1:6" s="876" customFormat="1" ht="36">
      <c r="A65" s="880">
        <v>5</v>
      </c>
      <c r="B65" s="3334"/>
      <c r="C65" s="816" t="s">
        <v>623</v>
      </c>
      <c r="D65" s="816" t="s">
        <v>624</v>
      </c>
      <c r="E65" s="893">
        <v>0.2</v>
      </c>
      <c r="F65" s="880">
        <v>30</v>
      </c>
    </row>
    <row r="66" spans="1:6" s="876" customFormat="1" ht="36">
      <c r="A66" s="880">
        <v>6</v>
      </c>
      <c r="B66" s="3334"/>
      <c r="C66" s="816" t="s">
        <v>625</v>
      </c>
      <c r="D66" s="816" t="s">
        <v>626</v>
      </c>
      <c r="E66" s="893">
        <v>0.3</v>
      </c>
      <c r="F66" s="880">
        <v>50</v>
      </c>
    </row>
    <row r="67" spans="1:6" s="876" customFormat="1" ht="36">
      <c r="A67" s="880">
        <v>7</v>
      </c>
      <c r="B67" s="3334"/>
      <c r="C67" s="816" t="s">
        <v>627</v>
      </c>
      <c r="D67" s="816" t="s">
        <v>628</v>
      </c>
      <c r="E67" s="893">
        <v>0.2</v>
      </c>
      <c r="F67" s="880">
        <v>30</v>
      </c>
    </row>
    <row r="68" spans="1:6" s="876" customFormat="1" ht="36">
      <c r="A68" s="880">
        <v>8</v>
      </c>
      <c r="B68" s="3334"/>
      <c r="C68" s="816" t="s">
        <v>629</v>
      </c>
      <c r="D68" s="816" t="s">
        <v>630</v>
      </c>
      <c r="E68" s="893">
        <v>0.2</v>
      </c>
      <c r="F68" s="880">
        <v>30</v>
      </c>
    </row>
    <row r="69" spans="1:6" s="876" customFormat="1" ht="36">
      <c r="A69" s="880">
        <v>9</v>
      </c>
      <c r="B69" s="3334"/>
      <c r="C69" s="816" t="s">
        <v>631</v>
      </c>
      <c r="D69" s="816" t="s">
        <v>632</v>
      </c>
      <c r="E69" s="893">
        <v>0.2</v>
      </c>
      <c r="F69" s="880">
        <v>30</v>
      </c>
    </row>
    <row r="70" spans="1:6" s="876" customFormat="1" ht="48">
      <c r="A70" s="880">
        <v>10</v>
      </c>
      <c r="B70" s="3334"/>
      <c r="C70" s="816" t="s">
        <v>633</v>
      </c>
      <c r="D70" s="816" t="s">
        <v>634</v>
      </c>
      <c r="E70" s="893">
        <v>0.2</v>
      </c>
      <c r="F70" s="880">
        <v>30</v>
      </c>
    </row>
    <row r="71" spans="1:6" s="876" customFormat="1" ht="48">
      <c r="A71" s="880">
        <v>11</v>
      </c>
      <c r="B71" s="3334"/>
      <c r="C71" s="816" t="s">
        <v>635</v>
      </c>
      <c r="D71" s="816" t="s">
        <v>636</v>
      </c>
      <c r="E71" s="893">
        <v>0.2</v>
      </c>
      <c r="F71" s="880">
        <v>30</v>
      </c>
    </row>
    <row r="72" spans="1:6" s="876" customFormat="1" ht="36">
      <c r="A72" s="880">
        <v>12</v>
      </c>
      <c r="B72" s="3334"/>
      <c r="C72" s="816" t="s">
        <v>637</v>
      </c>
      <c r="D72" s="816" t="s">
        <v>638</v>
      </c>
      <c r="E72" s="893">
        <v>0.5</v>
      </c>
      <c r="F72" s="880">
        <v>80</v>
      </c>
    </row>
    <row r="73" spans="1:6" s="876" customFormat="1" ht="24">
      <c r="A73" s="880">
        <v>13</v>
      </c>
      <c r="B73" s="3334"/>
      <c r="C73" s="816" t="s">
        <v>639</v>
      </c>
      <c r="D73" s="816" t="s">
        <v>640</v>
      </c>
      <c r="E73" s="893">
        <v>0.4</v>
      </c>
      <c r="F73" s="880">
        <v>60</v>
      </c>
    </row>
    <row r="74" spans="1:6" s="876" customFormat="1" ht="24">
      <c r="A74" s="880">
        <v>14</v>
      </c>
      <c r="B74" s="3334"/>
      <c r="C74" s="816" t="s">
        <v>641</v>
      </c>
      <c r="D74" s="816" t="s">
        <v>642</v>
      </c>
      <c r="E74" s="893">
        <v>0.2</v>
      </c>
      <c r="F74" s="880">
        <v>30</v>
      </c>
    </row>
    <row r="75" spans="1:6" s="876" customFormat="1" ht="24">
      <c r="A75" s="880">
        <v>15</v>
      </c>
      <c r="B75" s="3334"/>
      <c r="C75" s="816" t="s">
        <v>643</v>
      </c>
      <c r="D75" s="816" t="s">
        <v>644</v>
      </c>
      <c r="E75" s="893">
        <v>0.2</v>
      </c>
      <c r="F75" s="880">
        <v>30</v>
      </c>
    </row>
    <row r="76" spans="1:6" s="876" customFormat="1" ht="24">
      <c r="A76" s="880">
        <v>16</v>
      </c>
      <c r="B76" s="3334" t="s">
        <v>645</v>
      </c>
      <c r="C76" s="816" t="s">
        <v>646</v>
      </c>
      <c r="D76" s="816" t="s">
        <v>647</v>
      </c>
      <c r="E76" s="893">
        <v>0.5</v>
      </c>
      <c r="F76" s="880">
        <v>80</v>
      </c>
    </row>
    <row r="77" spans="1:6" s="876" customFormat="1" ht="24">
      <c r="A77" s="880">
        <v>17</v>
      </c>
      <c r="B77" s="3334"/>
      <c r="C77" s="816" t="s">
        <v>648</v>
      </c>
      <c r="D77" s="816" t="s">
        <v>649</v>
      </c>
      <c r="E77" s="893">
        <v>0.5</v>
      </c>
      <c r="F77" s="880">
        <v>80</v>
      </c>
    </row>
    <row r="78" spans="1:6" s="876" customFormat="1" ht="24">
      <c r="A78" s="880">
        <v>18</v>
      </c>
      <c r="B78" s="3334"/>
      <c r="C78" s="816" t="s">
        <v>650</v>
      </c>
      <c r="D78" s="816" t="s">
        <v>651</v>
      </c>
      <c r="E78" s="893">
        <v>0.2</v>
      </c>
      <c r="F78" s="880">
        <v>30</v>
      </c>
    </row>
    <row r="79" spans="1:6" s="876" customFormat="1" ht="24">
      <c r="A79" s="880">
        <v>19</v>
      </c>
      <c r="B79" s="3334"/>
      <c r="C79" s="816" t="s">
        <v>652</v>
      </c>
      <c r="D79" s="816" t="s">
        <v>653</v>
      </c>
      <c r="E79" s="893">
        <v>0.5</v>
      </c>
      <c r="F79" s="880">
        <v>80</v>
      </c>
    </row>
    <row r="80" spans="1:6" s="876" customFormat="1" ht="36">
      <c r="A80" s="880">
        <v>20</v>
      </c>
      <c r="B80" s="3334"/>
      <c r="C80" s="816" t="s">
        <v>654</v>
      </c>
      <c r="D80" s="816" t="s">
        <v>655</v>
      </c>
      <c r="E80" s="893">
        <v>0.2</v>
      </c>
      <c r="F80" s="880">
        <v>30</v>
      </c>
    </row>
    <row r="81" spans="1:6" s="876" customFormat="1" ht="36">
      <c r="A81" s="880">
        <v>21</v>
      </c>
      <c r="B81" s="3334"/>
      <c r="C81" s="816" t="s">
        <v>656</v>
      </c>
      <c r="D81" s="816" t="s">
        <v>657</v>
      </c>
      <c r="E81" s="893">
        <v>0.2</v>
      </c>
      <c r="F81" s="880">
        <v>30</v>
      </c>
    </row>
    <row r="82" spans="1:6" s="876" customFormat="1" ht="48">
      <c r="A82" s="880">
        <v>22</v>
      </c>
      <c r="B82" s="3334"/>
      <c r="C82" s="816" t="s">
        <v>658</v>
      </c>
      <c r="D82" s="816" t="s">
        <v>659</v>
      </c>
      <c r="E82" s="893">
        <v>0.2</v>
      </c>
      <c r="F82" s="880">
        <v>30</v>
      </c>
    </row>
    <row r="83" spans="1:6" s="876" customFormat="1" ht="48">
      <c r="A83" s="880">
        <v>23</v>
      </c>
      <c r="B83" s="3334"/>
      <c r="C83" s="816" t="s">
        <v>660</v>
      </c>
      <c r="D83" s="816" t="s">
        <v>661</v>
      </c>
      <c r="E83" s="893">
        <v>0.2</v>
      </c>
      <c r="F83" s="880">
        <v>30</v>
      </c>
    </row>
    <row r="84" spans="1:6" s="876" customFormat="1" ht="36">
      <c r="A84" s="880">
        <v>24</v>
      </c>
      <c r="B84" s="3334"/>
      <c r="C84" s="816" t="s">
        <v>662</v>
      </c>
      <c r="D84" s="816" t="s">
        <v>663</v>
      </c>
      <c r="E84" s="893">
        <v>0.2</v>
      </c>
      <c r="F84" s="880">
        <v>30</v>
      </c>
    </row>
    <row r="85" spans="1:6" s="876" customFormat="1" ht="36">
      <c r="A85" s="880">
        <v>25</v>
      </c>
      <c r="B85" s="3334"/>
      <c r="C85" s="816" t="s">
        <v>664</v>
      </c>
      <c r="D85" s="816" t="s">
        <v>665</v>
      </c>
      <c r="E85" s="893">
        <v>0.5</v>
      </c>
      <c r="F85" s="880">
        <v>80</v>
      </c>
    </row>
    <row r="86" spans="1:6" s="876" customFormat="1" ht="36">
      <c r="A86" s="880">
        <v>26</v>
      </c>
      <c r="B86" s="3334"/>
      <c r="C86" s="816" t="s">
        <v>666</v>
      </c>
      <c r="D86" s="816" t="s">
        <v>667</v>
      </c>
      <c r="E86" s="893">
        <v>0.2</v>
      </c>
      <c r="F86" s="880">
        <v>30</v>
      </c>
    </row>
    <row r="87" spans="1:6" s="876" customFormat="1" ht="36">
      <c r="A87" s="880">
        <v>27</v>
      </c>
      <c r="B87" s="3334"/>
      <c r="C87" s="816" t="s">
        <v>668</v>
      </c>
      <c r="D87" s="816" t="s">
        <v>669</v>
      </c>
      <c r="E87" s="893">
        <v>0.2</v>
      </c>
      <c r="F87" s="880">
        <v>30</v>
      </c>
    </row>
    <row r="88" spans="1:6" s="876" customFormat="1" ht="36">
      <c r="A88" s="880">
        <v>28</v>
      </c>
      <c r="B88" s="3334"/>
      <c r="C88" s="816" t="s">
        <v>670</v>
      </c>
      <c r="D88" s="816" t="s">
        <v>671</v>
      </c>
      <c r="E88" s="893">
        <v>0.2</v>
      </c>
      <c r="F88" s="880">
        <v>30</v>
      </c>
    </row>
    <row r="89" spans="1:6" s="876" customFormat="1" ht="24">
      <c r="A89" s="880">
        <v>29</v>
      </c>
      <c r="B89" s="3334"/>
      <c r="C89" s="816" t="s">
        <v>672</v>
      </c>
      <c r="D89" s="816" t="s">
        <v>673</v>
      </c>
      <c r="E89" s="893">
        <v>0.2</v>
      </c>
      <c r="F89" s="880">
        <v>30</v>
      </c>
    </row>
    <row r="90" spans="1:6" s="876" customFormat="1" ht="24">
      <c r="A90" s="880">
        <v>30</v>
      </c>
      <c r="B90" s="3334"/>
      <c r="C90" s="816" t="s">
        <v>674</v>
      </c>
      <c r="D90" s="816" t="s">
        <v>675</v>
      </c>
      <c r="E90" s="893">
        <v>0.2</v>
      </c>
      <c r="F90" s="880">
        <v>30</v>
      </c>
    </row>
    <row r="91" spans="1:6" s="876" customFormat="1" ht="36">
      <c r="A91" s="880">
        <v>31</v>
      </c>
      <c r="B91" s="3334"/>
      <c r="C91" s="816" t="s">
        <v>676</v>
      </c>
      <c r="D91" s="816" t="s">
        <v>677</v>
      </c>
      <c r="E91" s="893">
        <v>0.2</v>
      </c>
      <c r="F91" s="880">
        <v>30</v>
      </c>
    </row>
    <row r="92" spans="1:6" s="876" customFormat="1" ht="24">
      <c r="A92" s="880">
        <v>32</v>
      </c>
      <c r="B92" s="3334" t="s">
        <v>678</v>
      </c>
      <c r="C92" s="880" t="s">
        <v>679</v>
      </c>
      <c r="D92" s="816" t="s">
        <v>680</v>
      </c>
      <c r="E92" s="893">
        <v>0.2</v>
      </c>
      <c r="F92" s="880">
        <v>30</v>
      </c>
    </row>
    <row r="93" spans="1:6" s="876" customFormat="1" ht="36">
      <c r="A93" s="880">
        <v>33</v>
      </c>
      <c r="B93" s="3334"/>
      <c r="C93" s="880" t="s">
        <v>681</v>
      </c>
      <c r="D93" s="816" t="s">
        <v>682</v>
      </c>
      <c r="E93" s="893">
        <v>0.2</v>
      </c>
      <c r="F93" s="880">
        <v>30</v>
      </c>
    </row>
    <row r="94" spans="1:6" s="876" customFormat="1" ht="48">
      <c r="A94" s="880">
        <v>34</v>
      </c>
      <c r="B94" s="3334"/>
      <c r="C94" s="880" t="s">
        <v>683</v>
      </c>
      <c r="D94" s="816" t="s">
        <v>684</v>
      </c>
      <c r="E94" s="893">
        <v>0.2</v>
      </c>
      <c r="F94" s="880">
        <v>30</v>
      </c>
    </row>
    <row r="95" spans="1:6" s="876" customFormat="1" ht="36">
      <c r="A95" s="880">
        <v>35</v>
      </c>
      <c r="B95" s="3334"/>
      <c r="C95" s="880" t="s">
        <v>685</v>
      </c>
      <c r="D95" s="816" t="s">
        <v>686</v>
      </c>
      <c r="E95" s="893">
        <v>0.2</v>
      </c>
      <c r="F95" s="880">
        <v>30</v>
      </c>
    </row>
    <row r="96" spans="1:6" s="876" customFormat="1" ht="48">
      <c r="A96" s="880">
        <v>36</v>
      </c>
      <c r="B96" s="3334"/>
      <c r="C96" s="816" t="s">
        <v>687</v>
      </c>
      <c r="D96" s="816" t="s">
        <v>688</v>
      </c>
      <c r="E96" s="893">
        <v>0.2</v>
      </c>
      <c r="F96" s="880">
        <v>30</v>
      </c>
    </row>
    <row r="97" spans="1:6" s="876" customFormat="1" ht="36">
      <c r="A97" s="880">
        <v>37</v>
      </c>
      <c r="B97" s="3334"/>
      <c r="C97" s="880" t="s">
        <v>689</v>
      </c>
      <c r="D97" s="816" t="s">
        <v>690</v>
      </c>
      <c r="E97" s="893">
        <v>0.2</v>
      </c>
      <c r="F97" s="880">
        <v>30</v>
      </c>
    </row>
    <row r="98" spans="1:6" s="876" customFormat="1" ht="36">
      <c r="A98" s="880">
        <v>38</v>
      </c>
      <c r="B98" s="3334"/>
      <c r="C98" s="880" t="s">
        <v>691</v>
      </c>
      <c r="D98" s="816" t="s">
        <v>692</v>
      </c>
      <c r="E98" s="893">
        <v>0.2</v>
      </c>
      <c r="F98" s="880">
        <v>30</v>
      </c>
    </row>
    <row r="99" spans="1:6" s="876" customFormat="1" ht="36">
      <c r="A99" s="880">
        <v>39</v>
      </c>
      <c r="B99" s="3334" t="s">
        <v>693</v>
      </c>
      <c r="C99" s="880" t="s">
        <v>694</v>
      </c>
      <c r="D99" s="816" t="s">
        <v>695</v>
      </c>
      <c r="E99" s="893">
        <v>0.3</v>
      </c>
      <c r="F99" s="880">
        <v>50</v>
      </c>
    </row>
    <row r="100" spans="1:6" s="876" customFormat="1" ht="24">
      <c r="A100" s="880">
        <v>40</v>
      </c>
      <c r="B100" s="3334"/>
      <c r="C100" s="880" t="s">
        <v>696</v>
      </c>
      <c r="D100" s="816" t="s">
        <v>697</v>
      </c>
      <c r="E100" s="893">
        <v>0.2</v>
      </c>
      <c r="F100" s="880">
        <v>30</v>
      </c>
    </row>
    <row r="101" spans="1:6" s="876" customFormat="1" ht="36">
      <c r="A101" s="880">
        <v>41</v>
      </c>
      <c r="B101" s="333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4" t="s">
        <v>708</v>
      </c>
      <c r="C105" s="880" t="s">
        <v>709</v>
      </c>
      <c r="D105" s="816" t="s">
        <v>710</v>
      </c>
      <c r="E105" s="893">
        <v>0.2</v>
      </c>
      <c r="F105" s="880">
        <v>30</v>
      </c>
    </row>
    <row r="106" spans="1:6" s="876" customFormat="1" ht="36">
      <c r="A106" s="880">
        <v>46</v>
      </c>
      <c r="B106" s="3334"/>
      <c r="C106" s="880" t="s">
        <v>711</v>
      </c>
      <c r="D106" s="816" t="s">
        <v>712</v>
      </c>
      <c r="E106" s="893">
        <v>0.2</v>
      </c>
      <c r="F106" s="880">
        <v>30</v>
      </c>
    </row>
    <row r="107" spans="1:6" s="876" customFormat="1" ht="36">
      <c r="A107" s="880">
        <v>47</v>
      </c>
      <c r="B107" s="3334" t="s">
        <v>713</v>
      </c>
      <c r="C107" s="880" t="s">
        <v>714</v>
      </c>
      <c r="D107" s="816" t="s">
        <v>715</v>
      </c>
      <c r="E107" s="893">
        <v>0.3</v>
      </c>
      <c r="F107" s="880">
        <v>50</v>
      </c>
    </row>
    <row r="108" spans="1:6" s="876" customFormat="1" ht="36">
      <c r="A108" s="880">
        <v>48</v>
      </c>
      <c r="B108" s="333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4" t="s">
        <v>724</v>
      </c>
      <c r="C111" s="880" t="s">
        <v>725</v>
      </c>
      <c r="D111" s="816" t="s">
        <v>726</v>
      </c>
      <c r="E111" s="893">
        <v>0.2</v>
      </c>
      <c r="F111" s="880">
        <v>30</v>
      </c>
    </row>
    <row r="112" spans="1:6" s="876" customFormat="1" ht="24">
      <c r="A112" s="880">
        <v>52</v>
      </c>
      <c r="B112" s="3334"/>
      <c r="C112" s="880" t="s">
        <v>727</v>
      </c>
      <c r="D112" s="816" t="s">
        <v>728</v>
      </c>
      <c r="E112" s="893">
        <v>0.2</v>
      </c>
      <c r="F112" s="880">
        <v>30</v>
      </c>
    </row>
    <row r="113" spans="1:6" s="876" customFormat="1" ht="24">
      <c r="A113" s="880">
        <v>53</v>
      </c>
      <c r="B113" s="333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4" t="s">
        <v>737</v>
      </c>
      <c r="C116" s="880" t="s">
        <v>738</v>
      </c>
      <c r="D116" s="816" t="s">
        <v>739</v>
      </c>
      <c r="E116" s="893">
        <v>0.2</v>
      </c>
      <c r="F116" s="880">
        <v>30</v>
      </c>
    </row>
    <row r="117" spans="1:6" ht="36">
      <c r="A117" s="880">
        <v>57</v>
      </c>
      <c r="B117" s="333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2986</v>
      </c>
    </row>
    <row r="2" spans="1:5" ht="15.75">
      <c r="A2" s="2907" t="s">
        <v>2978</v>
      </c>
      <c r="B2" s="2908" t="e">
        <f ca="1">SUMIF(B6:B13,"&lt;&gt;#ref!",B6:B13)</f>
        <v>#DIV/0!</v>
      </c>
      <c r="C2" s="2907" t="s">
        <v>2979</v>
      </c>
      <c r="D2" s="2907" t="s">
        <v>2980</v>
      </c>
      <c r="E2" s="2908" t="e">
        <f ca="1">SUM(E6:E13)</f>
        <v>#REF!</v>
      </c>
    </row>
    <row r="3" spans="1:5" ht="15.75">
      <c r="A3" s="2907" t="s">
        <v>2981</v>
      </c>
      <c r="B3" s="2908" t="e">
        <f ca="1">ROUND(B2*10000/E2,0)</f>
        <v>#DIV/0!</v>
      </c>
      <c r="C3" s="2907" t="s">
        <v>2987</v>
      </c>
      <c r="D3" s="2909"/>
      <c r="E3" s="2909"/>
    </row>
    <row r="4" spans="1:5" ht="15.75">
      <c r="A4" s="2910"/>
      <c r="B4" s="2909"/>
      <c r="C4" s="2909"/>
      <c r="D4" s="2909"/>
      <c r="E4" s="2909"/>
    </row>
    <row r="5" spans="1:5" ht="28.5">
      <c r="A5" s="2911" t="s">
        <v>2982</v>
      </c>
      <c r="B5" s="2907" t="s">
        <v>2983</v>
      </c>
      <c r="C5" s="2908"/>
      <c r="D5" s="2909"/>
      <c r="E5" s="2907" t="s">
        <v>2984</v>
      </c>
    </row>
    <row r="6" spans="1:5" ht="15.75">
      <c r="A6" s="2912" t="s">
        <v>2985</v>
      </c>
      <c r="B6" s="2908" t="e">
        <f ca="1">SUMIF(INDIRECT("'"&amp;A6&amp;"'"&amp;"!A:A"),"总价",INDIRECT("'"&amp;A6&amp;"'"&amp;"!B:B"))</f>
        <v>#DIV/0!</v>
      </c>
      <c r="C6" s="2907" t="s">
        <v>2979</v>
      </c>
      <c r="D6" s="2909"/>
      <c r="E6" s="2572">
        <f ca="1">SUMIF(INDIRECT("'"&amp;A6&amp;"'"&amp;"!C:C"),"建筑面积",INDIRECT("'"&amp;A6&amp;"'"&amp;"!D:D"))</f>
        <v>0</v>
      </c>
    </row>
    <row r="7" spans="1:5" ht="15.75">
      <c r="A7" s="2912"/>
      <c r="B7" s="2908" t="e">
        <f ca="1">SUMIF(INDIRECT("'"&amp;A7&amp;"'"&amp;"!A:A"),"总价",INDIRECT("'"&amp;A7&amp;"'"&amp;"!B:B"))</f>
        <v>#REF!</v>
      </c>
      <c r="C7" s="2907" t="s">
        <v>2979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2979</v>
      </c>
      <c r="D8" s="2909"/>
      <c r="E8" s="2572" t="e">
        <f t="shared" ca="1" si="0"/>
        <v>#REF!</v>
      </c>
    </row>
    <row r="9" spans="1:5" ht="15.75">
      <c r="A9" s="2912"/>
      <c r="B9" s="2908" t="e">
        <f t="shared" ca="1" si="1"/>
        <v>#REF!</v>
      </c>
      <c r="C9" s="2907" t="s">
        <v>2979</v>
      </c>
      <c r="D9" s="2909"/>
      <c r="E9" s="2572" t="e">
        <f t="shared" ca="1" si="0"/>
        <v>#REF!</v>
      </c>
    </row>
    <row r="10" spans="1:5" ht="15.75">
      <c r="A10" s="2912"/>
      <c r="B10" s="2908" t="e">
        <f t="shared" ca="1" si="1"/>
        <v>#REF!</v>
      </c>
      <c r="C10" s="2907" t="s">
        <v>2979</v>
      </c>
      <c r="D10" s="2909"/>
      <c r="E10" s="2572" t="e">
        <f t="shared" ca="1" si="0"/>
        <v>#REF!</v>
      </c>
    </row>
    <row r="11" spans="1:5" ht="15.75">
      <c r="A11" s="2912"/>
      <c r="B11" s="2908" t="e">
        <f t="shared" ca="1" si="1"/>
        <v>#REF!</v>
      </c>
      <c r="C11" s="2907" t="s">
        <v>2979</v>
      </c>
      <c r="D11" s="2909"/>
      <c r="E11" s="2572" t="e">
        <f t="shared" ca="1" si="0"/>
        <v>#REF!</v>
      </c>
    </row>
    <row r="12" spans="1:5" ht="15.75">
      <c r="A12" s="2912"/>
      <c r="B12" s="2908" t="e">
        <f t="shared" ca="1" si="1"/>
        <v>#REF!</v>
      </c>
      <c r="C12" s="2907" t="s">
        <v>2979</v>
      </c>
      <c r="D12" s="2909"/>
      <c r="E12" s="2572" t="e">
        <f t="shared" ca="1" si="0"/>
        <v>#REF!</v>
      </c>
    </row>
    <row r="13" spans="1:5" ht="15.75">
      <c r="A13" s="2912"/>
      <c r="B13" s="2908" t="e">
        <f t="shared" ca="1" si="1"/>
        <v>#REF!</v>
      </c>
      <c r="C13" s="2907" t="s">
        <v>2979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40" t="s">
        <v>1146</v>
      </c>
      <c r="C1" s="3340"/>
      <c r="D1" s="3340"/>
      <c r="E1" s="3340"/>
      <c r="F1" s="3340"/>
      <c r="G1" s="3339" t="s">
        <v>1147</v>
      </c>
      <c r="H1" s="3339"/>
      <c r="I1" s="3339"/>
      <c r="J1" s="3339"/>
      <c r="K1" s="3339"/>
      <c r="L1" s="3339"/>
      <c r="N1" s="3339" t="s">
        <v>1148</v>
      </c>
      <c r="O1" s="3339"/>
      <c r="P1" s="3339"/>
      <c r="Q1" s="3339"/>
      <c r="R1" s="1447"/>
      <c r="S1" s="3339" t="s">
        <v>1149</v>
      </c>
      <c r="T1" s="3339"/>
      <c r="U1" s="3339"/>
      <c r="V1" s="3339"/>
      <c r="X1" s="3338" t="s">
        <v>1150</v>
      </c>
      <c r="Y1" s="3339"/>
      <c r="Z1" s="3339"/>
      <c r="AA1" s="3339"/>
      <c r="AB1" s="3339"/>
      <c r="AD1" s="3338" t="s">
        <v>1151</v>
      </c>
      <c r="AE1" s="3339"/>
      <c r="AF1" s="3339"/>
      <c r="AG1" s="3339"/>
      <c r="AH1" s="3339"/>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3019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3017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3018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4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36"/>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36"/>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37"/>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35">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36"/>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36"/>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37"/>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35">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36"/>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36"/>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37"/>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4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4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4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4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35">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36"/>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36"/>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37"/>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35">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36">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36">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37">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35">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36">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36">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37">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35">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36">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36">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37">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35">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36">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36">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37">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35">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36">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36">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37">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35">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36">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36">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37">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35">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36">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36">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37">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35">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36">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36">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37">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35">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36">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36">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37">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35">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36">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36">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37">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D21" sqref="D21"/>
    </sheetView>
  </sheetViews>
  <sheetFormatPr defaultRowHeight="13.5"/>
  <cols>
    <col min="1" max="1" width="4.625" customWidth="1"/>
    <col min="2" max="2" width="57.25" customWidth="1"/>
    <col min="3" max="3" width="10.75" customWidth="1"/>
    <col min="6" max="6" width="13.375" customWidth="1"/>
  </cols>
  <sheetData>
    <row r="1" spans="1:10">
      <c r="A1" s="3345" t="s">
        <v>3031</v>
      </c>
      <c r="B1" s="3345"/>
      <c r="C1" s="3345"/>
      <c r="D1" s="3345"/>
      <c r="E1" s="3345"/>
      <c r="F1" s="3345"/>
      <c r="G1" s="3345"/>
      <c r="H1" s="3345"/>
      <c r="I1" s="2966"/>
      <c r="J1" s="2967"/>
    </row>
    <row r="2" spans="1:10" ht="24">
      <c r="A2" s="2968" t="s">
        <v>3032</v>
      </c>
      <c r="B2" s="2968" t="s">
        <v>3033</v>
      </c>
      <c r="C2" s="2968" t="s">
        <v>3034</v>
      </c>
      <c r="D2" s="2968" t="s">
        <v>3035</v>
      </c>
      <c r="E2" s="2968" t="s">
        <v>3036</v>
      </c>
      <c r="F2" s="2968" t="s">
        <v>3037</v>
      </c>
      <c r="G2" s="2968" t="s">
        <v>3038</v>
      </c>
      <c r="H2" s="2968" t="s">
        <v>3039</v>
      </c>
      <c r="I2" s="2968" t="s">
        <v>3040</v>
      </c>
      <c r="J2" s="2969" t="s">
        <v>3041</v>
      </c>
    </row>
    <row r="3" spans="1:10" ht="24.95" customHeight="1">
      <c r="A3" s="2970">
        <v>1</v>
      </c>
      <c r="B3" s="2968" t="s">
        <v>3042</v>
      </c>
      <c r="C3" s="2970">
        <f>ROUND(D3/$D$30*$D$31,2)</f>
        <v>77.040000000000006</v>
      </c>
      <c r="D3" s="2970">
        <v>927</v>
      </c>
      <c r="E3" s="2970" t="s">
        <v>3043</v>
      </c>
      <c r="F3" s="2968" t="s">
        <v>3044</v>
      </c>
      <c r="G3" s="2970" t="s">
        <v>3045</v>
      </c>
      <c r="H3" s="2970" t="s">
        <v>3046</v>
      </c>
      <c r="I3" s="2970" t="s">
        <v>3047</v>
      </c>
      <c r="J3" s="2970" t="s">
        <v>3047</v>
      </c>
    </row>
    <row r="4" spans="1:10" ht="24.95" customHeight="1">
      <c r="A4" s="2970">
        <v>2</v>
      </c>
      <c r="B4" s="2968" t="s">
        <v>3048</v>
      </c>
      <c r="C4" s="2971">
        <f t="shared" ref="C4:C18" si="0">ROUND(D4/$D$30*$D$31,2)</f>
        <v>113.36</v>
      </c>
      <c r="D4" s="2970">
        <v>1364</v>
      </c>
      <c r="E4" s="2970" t="s">
        <v>3043</v>
      </c>
      <c r="F4" s="2970" t="s">
        <v>3049</v>
      </c>
      <c r="G4" s="2970" t="s">
        <v>3045</v>
      </c>
      <c r="H4" s="2970" t="s">
        <v>3050</v>
      </c>
      <c r="I4" s="2970" t="s">
        <v>3047</v>
      </c>
      <c r="J4" s="2970" t="s">
        <v>3051</v>
      </c>
    </row>
    <row r="5" spans="1:10" ht="24.95" customHeight="1">
      <c r="A5" s="2970">
        <v>3</v>
      </c>
      <c r="B5" s="2968" t="s">
        <v>3052</v>
      </c>
      <c r="C5" s="2971">
        <f t="shared" si="0"/>
        <v>104.8</v>
      </c>
      <c r="D5" s="2970">
        <v>1261</v>
      </c>
      <c r="E5" s="2970" t="s">
        <v>3043</v>
      </c>
      <c r="F5" s="2970" t="s">
        <v>3049</v>
      </c>
      <c r="G5" s="2970" t="s">
        <v>3053</v>
      </c>
      <c r="H5" s="2970" t="s">
        <v>3054</v>
      </c>
      <c r="I5" s="2970" t="s">
        <v>3055</v>
      </c>
      <c r="J5" s="2970" t="s">
        <v>3047</v>
      </c>
    </row>
    <row r="6" spans="1:10" ht="24.95" customHeight="1">
      <c r="A6" s="2970">
        <v>4</v>
      </c>
      <c r="B6" s="2968" t="s">
        <v>3056</v>
      </c>
      <c r="C6" s="2971">
        <f t="shared" si="0"/>
        <v>100.97</v>
      </c>
      <c r="D6" s="2970">
        <v>1215</v>
      </c>
      <c r="E6" s="2970" t="s">
        <v>3043</v>
      </c>
      <c r="F6" s="2970" t="s">
        <v>3057</v>
      </c>
      <c r="G6" s="2970" t="s">
        <v>3053</v>
      </c>
      <c r="H6" s="2970" t="s">
        <v>3058</v>
      </c>
      <c r="I6" s="2970" t="s">
        <v>3055</v>
      </c>
      <c r="J6" s="2970" t="s">
        <v>3047</v>
      </c>
    </row>
    <row r="7" spans="1:10" ht="24.95" customHeight="1">
      <c r="A7" s="2970">
        <v>5</v>
      </c>
      <c r="B7" s="2968" t="s">
        <v>3059</v>
      </c>
      <c r="C7" s="2971">
        <f t="shared" si="0"/>
        <v>77.540000000000006</v>
      </c>
      <c r="D7" s="2970">
        <v>933</v>
      </c>
      <c r="E7" s="2970" t="s">
        <v>3060</v>
      </c>
      <c r="F7" s="2970" t="s">
        <v>3061</v>
      </c>
      <c r="G7" s="2970" t="s">
        <v>3053</v>
      </c>
      <c r="H7" s="2970" t="s">
        <v>3062</v>
      </c>
      <c r="I7" s="2970" t="s">
        <v>3047</v>
      </c>
      <c r="J7" s="2970" t="s">
        <v>3047</v>
      </c>
    </row>
    <row r="8" spans="1:10" ht="24.95" customHeight="1">
      <c r="A8" s="2970">
        <v>6</v>
      </c>
      <c r="B8" s="2968" t="s">
        <v>3063</v>
      </c>
      <c r="C8" s="2971">
        <f t="shared" si="0"/>
        <v>68.23</v>
      </c>
      <c r="D8" s="2970">
        <v>821</v>
      </c>
      <c r="E8" s="2970" t="s">
        <v>3043</v>
      </c>
      <c r="F8" s="2970" t="s">
        <v>3064</v>
      </c>
      <c r="G8" s="2970" t="s">
        <v>3065</v>
      </c>
      <c r="H8" s="2970" t="s">
        <v>3066</v>
      </c>
      <c r="I8" s="2970" t="s">
        <v>3047</v>
      </c>
      <c r="J8" s="2970" t="s">
        <v>3055</v>
      </c>
    </row>
    <row r="9" spans="1:10" ht="24.95" customHeight="1">
      <c r="A9" s="2970">
        <v>7</v>
      </c>
      <c r="B9" s="2968" t="s">
        <v>3067</v>
      </c>
      <c r="C9" s="2971">
        <f t="shared" si="0"/>
        <v>68.23</v>
      </c>
      <c r="D9" s="2970">
        <v>821</v>
      </c>
      <c r="E9" s="2970" t="s">
        <v>3060</v>
      </c>
      <c r="F9" s="2970" t="s">
        <v>3064</v>
      </c>
      <c r="G9" s="2970" t="s">
        <v>3065</v>
      </c>
      <c r="H9" s="2970" t="s">
        <v>3068</v>
      </c>
      <c r="I9" s="2970" t="s">
        <v>3055</v>
      </c>
      <c r="J9" s="2970" t="s">
        <v>3047</v>
      </c>
    </row>
    <row r="10" spans="1:10" ht="24.95" customHeight="1">
      <c r="A10" s="2970">
        <v>8</v>
      </c>
      <c r="B10" s="2968" t="s">
        <v>3069</v>
      </c>
      <c r="C10" s="2971">
        <f t="shared" si="0"/>
        <v>68.23</v>
      </c>
      <c r="D10" s="2970">
        <v>821</v>
      </c>
      <c r="E10" s="2970" t="s">
        <v>3043</v>
      </c>
      <c r="F10" s="2970" t="s">
        <v>3070</v>
      </c>
      <c r="G10" s="2970" t="s">
        <v>3071</v>
      </c>
      <c r="H10" s="2970" t="s">
        <v>3072</v>
      </c>
      <c r="I10" s="2970" t="s">
        <v>3073</v>
      </c>
      <c r="J10" s="2970" t="s">
        <v>3073</v>
      </c>
    </row>
    <row r="11" spans="1:10" ht="24.95" customHeight="1">
      <c r="A11" s="2970">
        <v>9</v>
      </c>
      <c r="B11" s="2968" t="s">
        <v>3074</v>
      </c>
      <c r="C11" s="2971">
        <f t="shared" si="0"/>
        <v>68.23</v>
      </c>
      <c r="D11" s="2970">
        <v>821</v>
      </c>
      <c r="E11" s="2970" t="s">
        <v>3075</v>
      </c>
      <c r="F11" s="2970" t="s">
        <v>3076</v>
      </c>
      <c r="G11" s="2970" t="s">
        <v>3077</v>
      </c>
      <c r="H11" s="2970" t="s">
        <v>3078</v>
      </c>
      <c r="I11" s="2970" t="s">
        <v>3055</v>
      </c>
      <c r="J11" s="2970" t="s">
        <v>3073</v>
      </c>
    </row>
    <row r="12" spans="1:10" ht="24.95" customHeight="1">
      <c r="A12" s="2970">
        <v>10</v>
      </c>
      <c r="B12" s="2968" t="s">
        <v>3079</v>
      </c>
      <c r="C12" s="2971">
        <f t="shared" si="0"/>
        <v>68.23</v>
      </c>
      <c r="D12" s="2970">
        <v>821</v>
      </c>
      <c r="E12" s="2970" t="s">
        <v>3075</v>
      </c>
      <c r="F12" s="2970" t="s">
        <v>3076</v>
      </c>
      <c r="G12" s="2970" t="s">
        <v>3077</v>
      </c>
      <c r="H12" s="2970" t="s">
        <v>3080</v>
      </c>
      <c r="I12" s="2970" t="s">
        <v>3073</v>
      </c>
      <c r="J12" s="2970" t="s">
        <v>3073</v>
      </c>
    </row>
    <row r="13" spans="1:10" ht="24.95" customHeight="1">
      <c r="A13" s="2970">
        <v>11</v>
      </c>
      <c r="B13" s="2968" t="s">
        <v>3081</v>
      </c>
      <c r="C13" s="2971">
        <f t="shared" si="0"/>
        <v>68.23</v>
      </c>
      <c r="D13" s="2970">
        <v>821</v>
      </c>
      <c r="E13" s="2970" t="s">
        <v>3060</v>
      </c>
      <c r="F13" s="2970" t="s">
        <v>3082</v>
      </c>
      <c r="G13" s="2970" t="s">
        <v>3077</v>
      </c>
      <c r="H13" s="2970" t="s">
        <v>3083</v>
      </c>
      <c r="I13" s="2970" t="s">
        <v>3073</v>
      </c>
      <c r="J13" s="2970" t="str">
        <f>J14</f>
        <v>毛坯</v>
      </c>
    </row>
    <row r="14" spans="1:10" ht="24.95" customHeight="1">
      <c r="A14" s="2970">
        <v>12</v>
      </c>
      <c r="B14" s="2968" t="s">
        <v>3084</v>
      </c>
      <c r="C14" s="2971">
        <f t="shared" si="0"/>
        <v>68.23</v>
      </c>
      <c r="D14" s="2970">
        <v>821</v>
      </c>
      <c r="E14" s="2970" t="s">
        <v>3060</v>
      </c>
      <c r="F14" s="2970" t="s">
        <v>3085</v>
      </c>
      <c r="G14" s="2970" t="s">
        <v>3071</v>
      </c>
      <c r="H14" s="2970" t="s">
        <v>3086</v>
      </c>
      <c r="I14" s="2970" t="s">
        <v>3047</v>
      </c>
      <c r="J14" s="2970" t="str">
        <f>J17</f>
        <v>毛坯</v>
      </c>
    </row>
    <row r="15" spans="1:10" ht="24.95" customHeight="1">
      <c r="A15" s="2970">
        <v>13</v>
      </c>
      <c r="B15" s="2968" t="s">
        <v>3087</v>
      </c>
      <c r="C15" s="2971">
        <f t="shared" si="0"/>
        <v>68.23</v>
      </c>
      <c r="D15" s="2970">
        <v>821</v>
      </c>
      <c r="E15" s="2970" t="s">
        <v>3060</v>
      </c>
      <c r="F15" s="2970" t="s">
        <v>3085</v>
      </c>
      <c r="G15" s="2970" t="s">
        <v>3065</v>
      </c>
      <c r="H15" s="2970" t="s">
        <v>3088</v>
      </c>
      <c r="I15" s="2970" t="s">
        <v>3047</v>
      </c>
      <c r="J15" s="2970" t="str">
        <f>J17</f>
        <v>毛坯</v>
      </c>
    </row>
    <row r="16" spans="1:10" ht="24.95" customHeight="1">
      <c r="A16" s="2970">
        <v>14</v>
      </c>
      <c r="B16" s="2968" t="s">
        <v>3089</v>
      </c>
      <c r="C16" s="2971">
        <f t="shared" si="0"/>
        <v>68.23</v>
      </c>
      <c r="D16" s="2970">
        <v>821</v>
      </c>
      <c r="E16" s="2970" t="s">
        <v>3043</v>
      </c>
      <c r="F16" s="2970" t="s">
        <v>3082</v>
      </c>
      <c r="G16" s="2970" t="s">
        <v>3065</v>
      </c>
      <c r="H16" s="2970" t="s">
        <v>3090</v>
      </c>
      <c r="I16" s="2970" t="s">
        <v>3047</v>
      </c>
      <c r="J16" s="2970" t="str">
        <f>J17</f>
        <v>毛坯</v>
      </c>
    </row>
    <row r="17" spans="1:10" ht="24.95" customHeight="1">
      <c r="A17" s="2970">
        <v>15</v>
      </c>
      <c r="B17" s="2968" t="s">
        <v>3091</v>
      </c>
      <c r="C17" s="2971">
        <f t="shared" si="0"/>
        <v>68.23</v>
      </c>
      <c r="D17" s="2970">
        <v>821</v>
      </c>
      <c r="E17" s="2970" t="s">
        <v>3043</v>
      </c>
      <c r="F17" s="2970" t="s">
        <v>3085</v>
      </c>
      <c r="G17" s="2970" t="s">
        <v>3065</v>
      </c>
      <c r="H17" s="2970" t="s">
        <v>3092</v>
      </c>
      <c r="I17" s="2970" t="s">
        <v>3093</v>
      </c>
      <c r="J17" s="2970" t="s">
        <v>3094</v>
      </c>
    </row>
    <row r="18" spans="1:10" ht="24.95" customHeight="1">
      <c r="A18" s="2970">
        <v>16</v>
      </c>
      <c r="B18" s="2968" t="s">
        <v>3095</v>
      </c>
      <c r="C18" s="2971">
        <f t="shared" si="0"/>
        <v>68.23</v>
      </c>
      <c r="D18" s="2970">
        <v>821</v>
      </c>
      <c r="E18" s="2970" t="s">
        <v>3043</v>
      </c>
      <c r="F18" s="2970" t="s">
        <v>3085</v>
      </c>
      <c r="G18" s="2970" t="s">
        <v>3065</v>
      </c>
      <c r="H18" s="2970" t="s">
        <v>3096</v>
      </c>
      <c r="I18" s="2970" t="s">
        <v>3094</v>
      </c>
      <c r="J18" s="2970" t="s">
        <v>3094</v>
      </c>
    </row>
    <row r="19" spans="1:10">
      <c r="A19" s="3346" t="s">
        <v>3097</v>
      </c>
      <c r="B19" s="3346"/>
      <c r="C19" s="2970">
        <f>SUM(C3:C18)</f>
        <v>1224.24</v>
      </c>
      <c r="D19" s="2970">
        <f>SUM(D3:D18)</f>
        <v>14731</v>
      </c>
      <c r="E19" s="2970"/>
      <c r="F19" s="2970"/>
      <c r="G19" s="2970"/>
      <c r="H19" s="2970"/>
      <c r="I19" s="2970"/>
      <c r="J19" s="2972"/>
    </row>
    <row r="23" spans="1:10">
      <c r="C23" s="3005" t="s">
        <v>3189</v>
      </c>
      <c r="E23" s="2973" t="s">
        <v>3099</v>
      </c>
      <c r="F23">
        <v>7</v>
      </c>
    </row>
    <row r="24" spans="1:10">
      <c r="E24" s="2973" t="s">
        <v>3100</v>
      </c>
      <c r="F24">
        <v>8</v>
      </c>
    </row>
    <row r="25" spans="1:10">
      <c r="E25" s="2973" t="s">
        <v>3098</v>
      </c>
      <c r="F25">
        <v>8</v>
      </c>
    </row>
    <row r="27" spans="1:10">
      <c r="E27">
        <f>1.8*1.03^5</f>
        <v>2.08669333374</v>
      </c>
    </row>
    <row r="30" spans="1:10">
      <c r="C30" t="s">
        <v>3187</v>
      </c>
      <c r="D30">
        <v>24464</v>
      </c>
    </row>
    <row r="31" spans="1:10">
      <c r="C31" s="2973" t="s">
        <v>3188</v>
      </c>
      <c r="D31">
        <v>2033.12</v>
      </c>
    </row>
    <row r="39" spans="3:6">
      <c r="C39" s="2973" t="s">
        <v>3197</v>
      </c>
      <c r="D39">
        <v>275</v>
      </c>
      <c r="E39">
        <f>9*1.03^4</f>
        <v>10.129579289999999</v>
      </c>
    </row>
    <row r="40" spans="3:6">
      <c r="C40" s="2973" t="s">
        <v>3198</v>
      </c>
      <c r="D40">
        <v>395</v>
      </c>
      <c r="E40">
        <f>13.5*1.03^2</f>
        <v>14.322149999999999</v>
      </c>
      <c r="F40">
        <f>(E39*D39+E40*D40)/(D40+D39)</f>
        <v>12.601318738432834</v>
      </c>
    </row>
    <row r="41" spans="3:6">
      <c r="C41" s="2973" t="s">
        <v>3195</v>
      </c>
      <c r="D41">
        <v>258</v>
      </c>
      <c r="E41" s="2973">
        <f>6*1.03^1</f>
        <v>6.18</v>
      </c>
    </row>
    <row r="42" spans="3:6">
      <c r="C42" s="2973" t="s">
        <v>3199</v>
      </c>
      <c r="D42">
        <v>5200</v>
      </c>
    </row>
    <row r="43" spans="3:6">
      <c r="C43" s="2973" t="s">
        <v>3200</v>
      </c>
      <c r="D43">
        <v>1770</v>
      </c>
      <c r="E43">
        <f>2</f>
        <v>2</v>
      </c>
    </row>
    <row r="46" spans="3:6">
      <c r="C46" s="2973" t="s">
        <v>3193</v>
      </c>
      <c r="D46" s="2973" t="s">
        <v>3194</v>
      </c>
      <c r="E46">
        <v>275</v>
      </c>
      <c r="F46">
        <v>12.6</v>
      </c>
    </row>
    <row r="47" spans="3:6">
      <c r="D47" s="2973" t="s">
        <v>3195</v>
      </c>
      <c r="E47">
        <v>258</v>
      </c>
      <c r="F47">
        <v>6.18</v>
      </c>
    </row>
    <row r="48" spans="3:6">
      <c r="D48" s="2973" t="s">
        <v>3196</v>
      </c>
      <c r="E48">
        <f>927-E46-E47</f>
        <v>394</v>
      </c>
      <c r="F48">
        <f>F47*0.95</f>
        <v>5.8709999999999996</v>
      </c>
    </row>
    <row r="49" spans="5:6">
      <c r="E49">
        <f>SUM(E46:E48)</f>
        <v>927</v>
      </c>
      <c r="F49">
        <f>(F46*E46+F47*E47+F48*E48)/E49</f>
        <v>7.9531974110032362</v>
      </c>
    </row>
  </sheetData>
  <mergeCells count="2">
    <mergeCell ref="A1:H1"/>
    <mergeCell ref="A19:B19"/>
  </mergeCells>
  <phoneticPr fontId="143" type="noConversion"/>
  <pageMargins left="0.7" right="0.7" top="0.75" bottom="0.75" header="0.3" footer="0.3"/>
  <pageSetup paperSize="9" scale="63"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26532</v>
      </c>
      <c r="C2" s="2" t="s">
        <v>133</v>
      </c>
      <c r="D2" s="243"/>
      <c r="E2" s="243"/>
      <c r="F2" s="243"/>
      <c r="G2" s="243"/>
    </row>
    <row r="3" spans="1:7" s="244" customFormat="1" ht="18" customHeight="1" thickBot="1">
      <c r="A3" s="247" t="s">
        <v>85</v>
      </c>
      <c r="B3" s="248">
        <f ca="1">ROUND(B2*10000/'数据-汇总表'!E3,0)</f>
        <v>116235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2282.61</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23</v>
      </c>
      <c r="D19" s="1037">
        <f>'数据-汇总表'!E3</f>
        <v>2282.61</v>
      </c>
      <c r="E19" s="255">
        <f>'数据-取费表'!B31</f>
        <v>100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907</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793</v>
      </c>
      <c r="B23" s="259" t="s">
        <v>1060</v>
      </c>
      <c r="C23" s="1356">
        <f ca="1">ROUND(IF('数据-取费表'!B22&lt;=1,C5*F22*'数据-取费表'!B23,C5*(POWER((1+F22),'数据-取费表'!B23)-1)),0)</f>
        <v>897</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1</v>
      </c>
      <c r="D24" s="282"/>
      <c r="E24" s="282"/>
      <c r="F24" s="283"/>
      <c r="G24" s="284" t="s">
        <v>109</v>
      </c>
    </row>
    <row r="25" spans="1:7" s="258" customFormat="1" ht="24">
      <c r="A25" s="952" t="s">
        <v>792</v>
      </c>
      <c r="B25" s="259" t="s">
        <v>1057</v>
      </c>
      <c r="C25" s="1356">
        <f ca="1">ROUND(IF('数据-取费表'!B22&lt;=1,C20*F22*'数据-取费表'!B23/2,C20*(POWER((1+F22),'数据-取费表'!B23/2)-1)),0)</f>
        <v>9</v>
      </c>
      <c r="D25" s="282"/>
      <c r="E25" s="285"/>
      <c r="F25" s="283"/>
      <c r="G25" s="286" t="s">
        <v>110</v>
      </c>
    </row>
    <row r="26" spans="1:7" s="258" customFormat="1">
      <c r="A26" s="952" t="s">
        <v>794</v>
      </c>
      <c r="B26" s="259" t="s">
        <v>1059</v>
      </c>
      <c r="C26" s="282">
        <f ca="1">ROUND(IF('数据-取费表'!B22&lt;=1,F21*F22*'数据-取费表'!B23/2,F21*(POWER((1+F22),'数据-取费表'!B23/2)-1)),4)</f>
        <v>4.0000000000000002E-4</v>
      </c>
      <c r="D26" s="282"/>
      <c r="E26" s="285"/>
      <c r="F26" s="283"/>
      <c r="G26" s="287"/>
    </row>
    <row r="27" spans="1:7" s="258" customFormat="1" ht="24.75">
      <c r="A27" s="949" t="s">
        <v>786</v>
      </c>
      <c r="B27" s="288" t="s">
        <v>112</v>
      </c>
      <c r="C27" s="289">
        <f>C28</f>
        <v>2105</v>
      </c>
      <c r="D27" s="279">
        <f>C29</f>
        <v>2E-3</v>
      </c>
      <c r="E27" s="280" t="s">
        <v>126</v>
      </c>
      <c r="F27" s="290">
        <f>'数据-取费表'!Q16</f>
        <v>0.1</v>
      </c>
      <c r="G27" s="291" t="s">
        <v>1068</v>
      </c>
    </row>
    <row r="28" spans="1:7" s="258" customFormat="1" ht="13.5" customHeight="1">
      <c r="A28" s="952" t="s">
        <v>793</v>
      </c>
      <c r="B28" s="292" t="s">
        <v>1061</v>
      </c>
      <c r="C28" s="293">
        <f>ROUND((C5+C19+C20)*F27*'数据-取费表'!B21/'数据-取费表'!B20,0)</f>
        <v>2105</v>
      </c>
      <c r="D28" s="279"/>
      <c r="E28" s="280"/>
      <c r="F28" s="290"/>
      <c r="G28" s="291"/>
    </row>
    <row r="29" spans="1:7" s="258" customFormat="1" ht="13.5" customHeight="1">
      <c r="A29" s="952" t="s">
        <v>791</v>
      </c>
      <c r="B29" s="292" t="s">
        <v>1062</v>
      </c>
      <c r="C29" s="282">
        <f>ROUND(C21*F27*'数据-取费表'!B21/'数据-取费表'!B20,4)</f>
        <v>2E-3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452</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411</v>
      </c>
      <c r="D34" s="261"/>
      <c r="E34" s="264"/>
      <c r="F34" s="301">
        <f>IF('数据-取费表'!B24=0,1,'数据-取费表'!N16)</f>
        <v>1</v>
      </c>
      <c r="G34" s="263" t="s">
        <v>116</v>
      </c>
    </row>
    <row r="35" spans="1:7" ht="13.5" customHeight="1">
      <c r="A35" s="952" t="s">
        <v>795</v>
      </c>
      <c r="B35" s="259" t="s">
        <v>60</v>
      </c>
      <c r="C35" s="264">
        <f>ROUND(C34*F35,0)</f>
        <v>12</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23</v>
      </c>
      <c r="D37" s="261">
        <f>'数据-汇总表'!E3</f>
        <v>2282.61</v>
      </c>
      <c r="E37" s="293">
        <f>'数据-取费表'!B35</f>
        <v>100</v>
      </c>
      <c r="F37" s="303"/>
      <c r="G37" s="305" t="s">
        <v>119</v>
      </c>
    </row>
    <row r="38" spans="1:7" ht="13.5" customHeight="1">
      <c r="A38" s="952" t="s">
        <v>798</v>
      </c>
      <c r="B38" s="259" t="s">
        <v>63</v>
      </c>
      <c r="C38" s="264">
        <f>ROUND(C34*F38,0)</f>
        <v>6</v>
      </c>
      <c r="D38" s="264"/>
      <c r="E38" s="264"/>
      <c r="F38" s="303">
        <f>'数据-取费表'!B36</f>
        <v>1.4999999999999999E-2</v>
      </c>
      <c r="G38" s="263" t="s">
        <v>117</v>
      </c>
    </row>
    <row r="39" spans="1:7" s="258" customFormat="1" ht="13.5" customHeight="1">
      <c r="A39" s="949" t="s">
        <v>782</v>
      </c>
      <c r="B39" s="254" t="s">
        <v>104</v>
      </c>
      <c r="C39" s="276">
        <f>ROUND(C33*F20,0)</f>
        <v>9</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10</v>
      </c>
      <c r="D41" s="279">
        <f ca="1">C44</f>
        <v>4.0000000000000002E-4</v>
      </c>
      <c r="E41" s="280" t="s">
        <v>129</v>
      </c>
      <c r="F41" s="281"/>
      <c r="G41" s="1290" t="str">
        <f>IF('数据-取费表'!B22&lt;=1,"单利计息","复利计息")</f>
        <v>单利计息</v>
      </c>
    </row>
    <row r="42" spans="1:7" ht="13.5" customHeight="1">
      <c r="A42" s="952" t="s">
        <v>793</v>
      </c>
      <c r="B42" s="259" t="s">
        <v>1060</v>
      </c>
      <c r="C42" s="282">
        <f ca="1">ROUND(IF('数据-取费表'!B22&lt;=1,C33*F22*'数据-取费表'!B21/2,C33*(POWER((1+F22),'数据-取费表'!B21/2)-1)),0)</f>
        <v>10</v>
      </c>
      <c r="D42" s="282"/>
      <c r="E42" s="282"/>
      <c r="F42" s="283"/>
      <c r="G42" s="3264" t="s">
        <v>121</v>
      </c>
    </row>
    <row r="43" spans="1:7" ht="13.5" customHeight="1">
      <c r="A43" s="952" t="s">
        <v>791</v>
      </c>
      <c r="B43" s="259" t="s">
        <v>1063</v>
      </c>
      <c r="C43" s="282">
        <f ca="1">ROUND(IF('数据-取费表'!B22&lt;=1,C39*F22*'数据-取费表'!B21/2,C39*(POWER((1+F22),'数据-取费表'!B21/2)-1)),0)</f>
        <v>0</v>
      </c>
      <c r="D43" s="282"/>
      <c r="E43" s="282"/>
      <c r="F43" s="283"/>
      <c r="G43" s="3265"/>
    </row>
    <row r="44" spans="1:7" ht="13.5" customHeight="1">
      <c r="A44" s="952" t="s">
        <v>792</v>
      </c>
      <c r="B44" s="259" t="s">
        <v>1065</v>
      </c>
      <c r="C44" s="282">
        <f ca="1">ROUND(IF('数据-取费表'!B22&lt;=1,C40*F22*'数据-取费表'!B21/2,C40*(POWER((1+F22),'数据-取费表'!B21/2)-1)),4)</f>
        <v>4.0000000000000002E-4</v>
      </c>
      <c r="D44" s="282"/>
      <c r="E44" s="282"/>
      <c r="F44" s="283"/>
      <c r="G44" s="3266"/>
    </row>
    <row r="45" spans="1:7" s="258" customFormat="1" ht="13.5" customHeight="1">
      <c r="A45" s="949" t="s">
        <v>785</v>
      </c>
      <c r="B45" s="288" t="s">
        <v>112</v>
      </c>
      <c r="C45" s="289">
        <f>C46</f>
        <v>46</v>
      </c>
      <c r="D45" s="279">
        <f>C47</f>
        <v>2E-3</v>
      </c>
      <c r="E45" s="280" t="s">
        <v>129</v>
      </c>
      <c r="F45" s="290"/>
      <c r="G45" s="291" t="s">
        <v>1071</v>
      </c>
    </row>
    <row r="46" spans="1:7" s="258" customFormat="1" ht="13.5" customHeight="1">
      <c r="A46" s="952" t="s">
        <v>793</v>
      </c>
      <c r="B46" s="292" t="s">
        <v>1064</v>
      </c>
      <c r="C46" s="293">
        <f>ROUND((C33+C39)*F27,0)</f>
        <v>46</v>
      </c>
      <c r="D46" s="307"/>
      <c r="E46" s="280"/>
      <c r="F46" s="290"/>
      <c r="G46" s="291"/>
    </row>
    <row r="47" spans="1:7" s="258" customFormat="1" ht="13.5" customHeight="1">
      <c r="A47" s="952" t="s">
        <v>791</v>
      </c>
      <c r="B47" s="292" t="s">
        <v>1066</v>
      </c>
      <c r="C47" s="282">
        <f>ROUND(C40*F27,4)</f>
        <v>2E-3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559</v>
      </c>
      <c r="D49" s="276"/>
      <c r="E49" s="276"/>
      <c r="F49" s="308"/>
      <c r="G49" s="278" t="s">
        <v>1072</v>
      </c>
    </row>
    <row r="50" spans="1:7" s="302" customFormat="1" ht="24">
      <c r="A50" s="949" t="s">
        <v>788</v>
      </c>
      <c r="B50" s="254" t="s">
        <v>124</v>
      </c>
      <c r="C50" s="276"/>
      <c r="D50" s="276"/>
      <c r="E50" s="276"/>
      <c r="F50" s="308">
        <f>IF('数据-取费表'!B24=0,'数据-取费表'!N16,1)</f>
        <v>0.9</v>
      </c>
      <c r="G50" s="291" t="s">
        <v>125</v>
      </c>
    </row>
    <row r="51" spans="1:7" ht="16.5" customHeight="1">
      <c r="A51" s="949" t="s">
        <v>789</v>
      </c>
      <c r="B51" s="254" t="s">
        <v>132</v>
      </c>
      <c r="C51" s="276">
        <f ca="1">ROUND(C49*F50,0)</f>
        <v>503</v>
      </c>
      <c r="D51" s="276"/>
      <c r="E51" s="276"/>
      <c r="F51" s="308"/>
      <c r="G51" s="278" t="s">
        <v>64</v>
      </c>
    </row>
    <row r="52" spans="1:7" s="252" customFormat="1" ht="16.5" thickBot="1">
      <c r="A52" s="309" t="s">
        <v>65</v>
      </c>
      <c r="B52" s="310"/>
      <c r="C52" s="311">
        <f ca="1">C31+C51</f>
        <v>26532</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7" t="s">
        <v>156</v>
      </c>
      <c r="B1" s="3347"/>
      <c r="C1" s="3347"/>
      <c r="D1" s="3347"/>
      <c r="E1" s="3347"/>
      <c r="F1" s="334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8" t="s">
        <v>169</v>
      </c>
      <c r="B2" s="3348"/>
      <c r="C2" s="3348"/>
      <c r="D2" s="3348"/>
      <c r="E2" s="3348"/>
      <c r="F2" s="334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36" t="str">
        <f>IF(项目基本情况!B9="房地产市场价值","估价结果一览表","结果表-2")</f>
        <v>估价结果一览表</v>
      </c>
      <c r="B1" s="3036"/>
      <c r="C1" s="3036"/>
      <c r="D1" s="3036"/>
      <c r="E1" s="3036"/>
      <c r="F1" s="3036"/>
      <c r="G1" s="3036"/>
      <c r="H1" s="3036"/>
      <c r="I1" s="3036"/>
    </row>
    <row r="2" spans="1:9" ht="30" customHeight="1" thickTop="1">
      <c r="A2" s="3037" t="s">
        <v>1639</v>
      </c>
      <c r="B2" s="3037" t="s">
        <v>1640</v>
      </c>
      <c r="C2" s="3037" t="s">
        <v>1641</v>
      </c>
      <c r="D2" s="3037" t="str">
        <f>'结果表（商业）'!D116</f>
        <v>出让国有建设用地使用权价值</v>
      </c>
      <c r="E2" s="3037"/>
      <c r="F2" s="3037" t="str">
        <f>'结果表（商业）'!F116</f>
        <v>在建建筑物价值</v>
      </c>
      <c r="G2" s="3037"/>
      <c r="H2" s="3037" t="str">
        <f>IF(项目基本情况!B9="房地产市场价值","房地产市场价值","房地产价值")</f>
        <v>房地产市场价值</v>
      </c>
      <c r="I2" s="3037"/>
    </row>
    <row r="3" spans="1:9" ht="15">
      <c r="A3" s="3031"/>
      <c r="B3" s="3031"/>
      <c r="C3" s="3031"/>
      <c r="D3" s="1045" t="s">
        <v>1636</v>
      </c>
      <c r="E3" s="1045" t="s">
        <v>1642</v>
      </c>
      <c r="F3" s="1045" t="s">
        <v>1636</v>
      </c>
      <c r="G3" s="1045" t="s">
        <v>1637</v>
      </c>
      <c r="H3" s="1045" t="s">
        <v>1636</v>
      </c>
      <c r="I3" s="1045" t="s">
        <v>1637</v>
      </c>
    </row>
    <row r="4" spans="1:9" ht="45">
      <c r="A4" s="1975" t="str">
        <f>项目基本情况!S2</f>
        <v>新疆维吾尔自治区塔城市新城区伊宁路1-5层部分办公用房房地产</v>
      </c>
      <c r="B4" s="1045">
        <f>项目基本情况!C17</f>
        <v>2282.61</v>
      </c>
      <c r="C4" s="1045">
        <f>项目基本情况!C18</f>
        <v>602</v>
      </c>
      <c r="D4" s="1045" t="e">
        <f ca="1">'结果表（商业）'!D118</f>
        <v>#N/A</v>
      </c>
      <c r="E4" s="1045" t="e">
        <f ca="1">'结果表（商业）'!E118</f>
        <v>#N/A</v>
      </c>
      <c r="F4" s="1045" t="e">
        <f ca="1">'结果表（商业）'!F118</f>
        <v>#N/A</v>
      </c>
      <c r="G4" s="1045" t="e">
        <f ca="1">'结果表（商业）'!G118</f>
        <v>#N/A</v>
      </c>
      <c r="H4" s="1045" t="e">
        <f ca="1">'结果表（商业）'!H118</f>
        <v>#N/A</v>
      </c>
      <c r="I4" s="1045" t="e">
        <f ca="1">'结果表（商业）'!I118</f>
        <v>#N/A</v>
      </c>
    </row>
    <row r="5" spans="1:9" ht="30" customHeight="1">
      <c r="A5" s="3031" t="s">
        <v>1638</v>
      </c>
      <c r="B5" s="3031"/>
      <c r="C5" s="3031"/>
      <c r="D5" s="3032" t="e">
        <f ca="1">'结果表（商业）'!D119</f>
        <v>#N/A</v>
      </c>
      <c r="E5" s="3032"/>
      <c r="F5" s="3032" t="e">
        <f ca="1">'结果表（商业）'!F119</f>
        <v>#N/A</v>
      </c>
      <c r="G5" s="3032"/>
      <c r="H5" s="3032" t="e">
        <f ca="1">'结果表（商业）'!H119</f>
        <v>#N/A</v>
      </c>
      <c r="I5" s="3032"/>
    </row>
    <row r="6" spans="1:9" ht="15.75">
      <c r="A6" s="3030" t="str">
        <f>'结果表（商业）'!A120</f>
        <v/>
      </c>
      <c r="B6" s="3030"/>
      <c r="C6" s="3030"/>
      <c r="D6" s="3030">
        <f>'结果表（商业）'!D120</f>
        <v>0</v>
      </c>
      <c r="E6" s="3030"/>
      <c r="F6" s="3030"/>
      <c r="G6" s="3030"/>
      <c r="H6" s="3030"/>
      <c r="I6" s="3030"/>
    </row>
    <row r="7" spans="1:9" ht="15">
      <c r="A7" s="3031" t="s">
        <v>1638</v>
      </c>
      <c r="B7" s="3031"/>
      <c r="C7" s="3031"/>
      <c r="D7" s="3033" t="str">
        <f>'结果表（商业）'!D121</f>
        <v>零元整</v>
      </c>
      <c r="E7" s="3034"/>
      <c r="F7" s="3034"/>
      <c r="G7" s="3034"/>
      <c r="H7" s="3034"/>
      <c r="I7" s="3035"/>
    </row>
    <row r="8" spans="1:9" ht="15.75">
      <c r="A8" s="3030" t="str">
        <f>'结果表（商业）'!A122</f>
        <v/>
      </c>
      <c r="B8" s="3030"/>
      <c r="C8" s="3030"/>
      <c r="D8" s="3030" t="e">
        <f ca="1">'结果表（商业）'!D122</f>
        <v>#N/A</v>
      </c>
      <c r="E8" s="3030"/>
      <c r="F8" s="3030"/>
      <c r="G8" s="3030"/>
      <c r="H8" s="3030"/>
      <c r="I8" s="3030"/>
    </row>
    <row r="9" spans="1:9" ht="15">
      <c r="A9" s="3031" t="s">
        <v>1638</v>
      </c>
      <c r="B9" s="3031"/>
      <c r="C9" s="3031"/>
      <c r="D9" s="3032" t="e">
        <f ca="1">'结果表（商业）'!D123</f>
        <v>#N/A</v>
      </c>
      <c r="E9" s="3032"/>
      <c r="F9" s="3032"/>
      <c r="G9" s="3032"/>
      <c r="H9" s="3032"/>
      <c r="I9" s="3032"/>
    </row>
    <row r="10" spans="1:9" ht="15.75">
      <c r="A10" s="3030" t="str">
        <f>'结果表（商业）'!A124</f>
        <v/>
      </c>
      <c r="B10" s="3030"/>
      <c r="C10" s="3030"/>
      <c r="D10" s="3030" t="str">
        <f>'结果表（商业）'!D124</f>
        <v>——</v>
      </c>
      <c r="E10" s="3030"/>
      <c r="F10" s="3030"/>
      <c r="G10" s="3030"/>
      <c r="H10" s="3030"/>
      <c r="I10" s="3030"/>
    </row>
    <row r="11" spans="1:9" ht="15">
      <c r="A11" s="3031" t="s">
        <v>1638</v>
      </c>
      <c r="B11" s="3031"/>
      <c r="C11" s="3031"/>
      <c r="D11" s="3032" t="e">
        <f>'结果表（商业）'!D125</f>
        <v>#VALUE!</v>
      </c>
      <c r="E11" s="3032"/>
      <c r="F11" s="3032"/>
      <c r="G11" s="3032"/>
      <c r="H11" s="3032"/>
      <c r="I11" s="3032"/>
    </row>
    <row r="12" spans="1:9" ht="15.75">
      <c r="A12" s="3030" t="str">
        <f>'结果表（商业）'!A126</f>
        <v/>
      </c>
      <c r="B12" s="3030"/>
      <c r="C12" s="3030"/>
      <c r="D12" s="3030" t="str">
        <f>'结果表（商业）'!D126</f>
        <v>——</v>
      </c>
      <c r="E12" s="3030"/>
      <c r="F12" s="3030"/>
      <c r="G12" s="3030"/>
      <c r="H12" s="3030"/>
      <c r="I12" s="3030"/>
    </row>
    <row r="13" spans="1:9" ht="15.75" thickBot="1">
      <c r="A13" s="3027" t="s">
        <v>1638</v>
      </c>
      <c r="B13" s="3027"/>
      <c r="C13" s="3027"/>
      <c r="D13" s="3028" t="e">
        <f>'结果表（商业）'!D127</f>
        <v>#VALUE!</v>
      </c>
      <c r="E13" s="3028"/>
      <c r="F13" s="3028"/>
      <c r="G13" s="3028"/>
      <c r="H13" s="3028"/>
      <c r="I13" s="3028"/>
    </row>
    <row r="14" spans="1:9" ht="15" thickTop="1">
      <c r="A14" s="3029" t="s">
        <v>1643</v>
      </c>
      <c r="B14" s="3029"/>
      <c r="C14" s="3029"/>
      <c r="D14" s="3029"/>
      <c r="E14" s="3029"/>
      <c r="F14" s="3029"/>
      <c r="G14" s="3029"/>
      <c r="H14" s="3029"/>
      <c r="I14" s="3029"/>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7" t="s">
        <v>870</v>
      </c>
      <c r="B1" s="3347"/>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43069</v>
      </c>
      <c r="D1" s="1702" t="s">
        <v>1298</v>
      </c>
      <c r="E1" s="1697">
        <f>'数据-取费表'!B22</f>
        <v>1</v>
      </c>
      <c r="F1" s="1702" t="s">
        <v>1299</v>
      </c>
      <c r="G1" s="1698">
        <f ca="1">INDIRECT("d"&amp;$K$1)/100</f>
        <v>4.3499999999999997E-2</v>
      </c>
      <c r="H1" s="1702" t="s">
        <v>1329</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4" t="s">
        <v>1660</v>
      </c>
      <c r="B1" s="3044"/>
      <c r="C1" s="3044"/>
      <c r="D1" s="3044"/>
    </row>
    <row r="2" spans="1:4" ht="18">
      <c r="A2" s="3045" t="s">
        <v>1644</v>
      </c>
      <c r="B2" s="3045"/>
      <c r="C2" s="3045"/>
      <c r="D2" s="3045"/>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45" t="s">
        <v>1650</v>
      </c>
      <c r="B6" s="3045"/>
      <c r="C6" s="3045"/>
      <c r="D6" s="3045"/>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46" t="s">
        <v>1653</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3"/>
      <c r="C12" s="3043"/>
      <c r="D12" s="3043"/>
    </row>
    <row r="13" spans="1:4" ht="30" customHeight="1">
      <c r="A13" s="3038" t="str">
        <f>IF(项目基本情况!B8="抵押","3.抵押双方在办理抵押登记手续时，应使用本公司出具的正式《房地产评估报告》，特提醒报告使用者注意。","——")</f>
        <v>——</v>
      </c>
      <c r="B13" s="3043"/>
      <c r="C13" s="3043"/>
      <c r="D13" s="3043"/>
    </row>
    <row r="14" spans="1:4" ht="15.75" customHeight="1">
      <c r="A14" s="3038" t="str">
        <f>IF(项目基本情况!B8="抵押","4.本次评估估价师所知悉的法定优先受偿款情况说明如下：","——")</f>
        <v>——</v>
      </c>
      <c r="B14" s="3043"/>
      <c r="C14" s="3043"/>
      <c r="D14" s="3043"/>
    </row>
    <row r="15" spans="1:4" ht="42" customHeight="1">
      <c r="A15" s="3038" t="str">
        <f>IF(项目基本情况!B8="抵押","（1）"&amp;CONCATENATE(项目基本情况!L20,项目基本情况!L21,项目基本情况!L22),"——")</f>
        <v>——</v>
      </c>
      <c r="B15" s="3038"/>
      <c r="C15" s="3038"/>
      <c r="D15" s="3038"/>
    </row>
    <row r="16" spans="1:4" ht="30" customHeight="1">
      <c r="A16" s="3040" t="s">
        <v>1654</v>
      </c>
      <c r="B16" s="3040"/>
      <c r="C16" s="3040"/>
      <c r="D16" s="3040"/>
    </row>
    <row r="17" spans="1:4" ht="144" customHeight="1">
      <c r="A17" s="3040" t="s">
        <v>1655</v>
      </c>
      <c r="B17" s="3040"/>
      <c r="C17" s="3040"/>
      <c r="D17" s="3040"/>
    </row>
    <row r="18" spans="1:4" ht="15.75" customHeight="1">
      <c r="A18" s="3038" t="str">
        <f>IF(项目基本情况!B8="抵押",'结果表（商业）'!K120,"——")</f>
        <v>——</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1"/>
      <c r="C21" s="3041"/>
      <c r="D21" s="3041"/>
    </row>
    <row r="22" spans="1:4" ht="18.75" customHeight="1">
      <c r="A22" s="3042" t="s">
        <v>1656</v>
      </c>
      <c r="B22" s="3042"/>
      <c r="C22" s="3042"/>
      <c r="D22" s="3042"/>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52" t="s">
        <v>1667</v>
      </c>
      <c r="B15" s="3047" t="s">
        <v>136</v>
      </c>
      <c r="C15" s="3048"/>
    </row>
    <row r="16" spans="1:7" ht="13.5">
      <c r="A16" s="3053"/>
      <c r="B16" s="3047" t="s">
        <v>69</v>
      </c>
      <c r="C16" s="3048"/>
    </row>
    <row r="17" spans="1:3" ht="13.5">
      <c r="A17" s="3053"/>
      <c r="B17" s="3050" t="s">
        <v>1668</v>
      </c>
      <c r="C17" s="2002" t="s">
        <v>1667</v>
      </c>
    </row>
    <row r="18" spans="1:3" ht="13.5">
      <c r="A18" s="3053"/>
      <c r="B18" s="3050"/>
      <c r="C18" s="2002" t="s">
        <v>1669</v>
      </c>
    </row>
    <row r="19" spans="1:3" ht="13.5">
      <c r="A19" s="3053"/>
      <c r="B19" s="3050"/>
      <c r="C19" s="2002" t="s">
        <v>1670</v>
      </c>
    </row>
    <row r="20" spans="1:3" ht="13.5">
      <c r="A20" s="3054"/>
      <c r="B20" s="3049" t="s">
        <v>1671</v>
      </c>
      <c r="C20" s="3048"/>
    </row>
    <row r="21" spans="1:3" ht="13.5">
      <c r="A21" s="2003" t="s">
        <v>1672</v>
      </c>
      <c r="B21" s="2004"/>
      <c r="C21" s="2005"/>
    </row>
    <row r="22" spans="1:3" ht="13.5">
      <c r="A22" s="3051" t="s">
        <v>1673</v>
      </c>
      <c r="B22" s="3049" t="s">
        <v>1674</v>
      </c>
      <c r="C22" s="3048"/>
    </row>
    <row r="23" spans="1:3" ht="13.5">
      <c r="A23" s="3051"/>
      <c r="B23" s="3049" t="s">
        <v>1675</v>
      </c>
      <c r="C23" s="3048"/>
    </row>
    <row r="24" spans="1:3" ht="13.5">
      <c r="A24" s="3051"/>
      <c r="B24" s="3049" t="s">
        <v>1676</v>
      </c>
      <c r="C24" s="3048"/>
    </row>
    <row r="25" spans="1:3" ht="13.5">
      <c r="A25" s="3051"/>
      <c r="B25" s="3050" t="s">
        <v>1677</v>
      </c>
      <c r="C25" s="2002" t="s">
        <v>1678</v>
      </c>
    </row>
    <row r="26" spans="1:3" ht="13.5">
      <c r="A26" s="3051"/>
      <c r="B26" s="3050"/>
      <c r="C26" s="2002" t="s">
        <v>1679</v>
      </c>
    </row>
    <row r="27" spans="1:3" ht="13.5">
      <c r="A27" s="3051"/>
      <c r="B27" s="3050"/>
      <c r="C27" s="2002" t="s">
        <v>1680</v>
      </c>
    </row>
    <row r="28" spans="1:3" ht="13.5">
      <c r="A28" s="3051"/>
      <c r="B28" s="3050"/>
      <c r="C28" s="2002" t="s">
        <v>1681</v>
      </c>
    </row>
    <row r="29" spans="1:3" ht="13.5">
      <c r="A29" s="3051"/>
      <c r="B29" s="3050"/>
      <c r="C29" s="2002" t="s">
        <v>1682</v>
      </c>
    </row>
    <row r="30" spans="1:3" ht="13.5">
      <c r="A30" s="3051"/>
      <c r="B30" s="3050"/>
      <c r="C30" s="2002" t="s">
        <v>1683</v>
      </c>
    </row>
    <row r="31" spans="1:3" ht="13.5">
      <c r="A31" s="3051"/>
      <c r="B31" s="3050"/>
      <c r="C31" s="2002" t="s">
        <v>1684</v>
      </c>
    </row>
    <row r="32" spans="1:3" ht="13.5">
      <c r="A32" s="3051"/>
      <c r="B32" s="3050"/>
      <c r="C32" s="2002" t="s">
        <v>1685</v>
      </c>
    </row>
    <row r="33" spans="1:3" ht="13.5">
      <c r="A33" s="3051"/>
      <c r="B33" s="305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43075</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f ca="1">IF(C22&lt;B2,"已过期",1120020033)</f>
        <v>1120020033</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5" t="s">
        <v>845</v>
      </c>
      <c r="B25" s="3055"/>
      <c r="C25" s="3055"/>
      <c r="D25" s="3055"/>
      <c r="E25" s="3055"/>
      <c r="F25" s="3055"/>
      <c r="G25" s="3055"/>
    </row>
    <row r="26" spans="1:7" s="1026" customFormat="1" ht="24" customHeight="1">
      <c r="A26" s="3056" t="s">
        <v>846</v>
      </c>
      <c r="B26" s="3056"/>
      <c r="C26" s="3057"/>
      <c r="D26" s="3058" t="s">
        <v>847</v>
      </c>
      <c r="E26" s="3056"/>
      <c r="F26" s="3056"/>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167</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信息</vt:lpstr>
      <vt:lpstr>典型户型修正（办公）</vt:lpstr>
      <vt:lpstr>结果表（商业）</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面积1</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'结果表（办公）'!Print_Area</vt:lpstr>
      <vt:lpstr>'结果表（商业）'!Print_Area</vt:lpstr>
      <vt:lpstr>面积1!Print_Area</vt:lpstr>
      <vt:lpstr>收益法!Print_Area</vt:lpstr>
      <vt:lpstr>'收益法 (1层商业)'!Print_Area</vt:lpstr>
      <vt:lpstr>'收益法（办公）'!Print_Area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2017-12-05T07:30:57Z</cp:lastPrinted>
  <dcterms:created xsi:type="dcterms:W3CDTF">2015-07-13T07:17:23Z</dcterms:created>
  <dcterms:modified xsi:type="dcterms:W3CDTF">2017-12-06T03:14:36Z</dcterms:modified>
</cp:coreProperties>
</file>