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24226"/>
  <mc:AlternateContent xmlns:mc="http://schemas.openxmlformats.org/markup-compatibility/2006">
    <mc:Choice Requires="x15">
      <x15ac:absPath xmlns:x15ac="http://schemas.microsoft.com/office/spreadsheetml/2010/11/ac" url="D:\桌面\光大信托抵押资料\土地\结果大冶\"/>
    </mc:Choice>
  </mc:AlternateContent>
  <xr:revisionPtr revIDLastSave="0" documentId="13_ncr:1_{4B89A288-71C1-461D-BA79-E993E5DF9168}" xr6:coauthVersionLast="45" xr6:coauthVersionMax="45" xr10:uidLastSave="{00000000-0000-0000-0000-000000000000}"/>
  <bookViews>
    <workbookView xWindow="-120" yWindow="-120" windowWidth="19440" windowHeight="15000" tabRatio="875" firstSheet="10"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信息" sheetId="70"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土地案例" sheetId="68" r:id="rId33"/>
    <sheet name="剩余法-待开发" sheetId="12" r:id="rId34"/>
    <sheet name="不动产比较法-住宅" sheetId="21" r:id="rId35"/>
    <sheet name="开发完成后"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32" hidden="1">土地案例!$A$1:$WVY$101</definedName>
    <definedName name="_xlnm._FilterDatabase" localSheetId="9" hidden="1">项目基本情况!$A$48:$N$48</definedName>
    <definedName name="_xlnm.Print_Area" localSheetId="20">'比较法-工业'!$A$1:$K$63,'比较法-工业'!$A$66:$N$123</definedName>
    <definedName name="_xlnm.Print_Area" localSheetId="19">'比较法-住宅、综合'!$A$1:$K$68,'比较法-住宅、综合'!$A$71:$N$134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4">'不动产比较法-住宅'!$A$1:$K$54,'不动产比较法-住宅'!$A$57:$M$131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3">'剩余法-待开发'!$A$1:$K$36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'数据-汇总表'!$A$1:$M$32</definedName>
    <definedName name="_xlnm.Print_Area" localSheetId="10">'数据-基础表'!$A$1:$I$13</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21" i="70" l="1"/>
  <c r="Q21" i="70"/>
  <c r="S19" i="70"/>
  <c r="S5" i="70"/>
  <c r="S3" i="70"/>
  <c r="P5" i="70" l="1"/>
  <c r="O5" i="70" l="1"/>
  <c r="P6" i="70"/>
  <c r="Q6" i="70" s="1"/>
  <c r="O6" i="70" l="1"/>
  <c r="R5" i="70" l="1"/>
  <c r="R7" i="70" s="1"/>
  <c r="P4" i="70" l="1"/>
  <c r="O4" i="70" l="1"/>
  <c r="Q5" i="70" l="1"/>
  <c r="Q4" i="70"/>
  <c r="I40" i="39" l="1"/>
  <c r="C7" i="39" l="1"/>
  <c r="L5" i="70" l="1"/>
  <c r="G5" i="21" l="1"/>
  <c r="C40" i="39"/>
  <c r="I48" i="39" l="1"/>
  <c r="G48" i="39"/>
  <c r="E48" i="39"/>
  <c r="G40" i="39"/>
  <c r="E40" i="39"/>
  <c r="I9" i="39"/>
  <c r="G9" i="39"/>
  <c r="E9" i="39"/>
  <c r="I7" i="39"/>
  <c r="G7" i="39"/>
  <c r="E7" i="39"/>
  <c r="G3" i="68"/>
  <c r="G4" i="68"/>
  <c r="G5" i="68"/>
  <c r="G6" i="68"/>
  <c r="G7" i="68"/>
  <c r="G8" i="68"/>
  <c r="G9" i="68"/>
  <c r="G10" i="68"/>
  <c r="G11" i="68"/>
  <c r="G12" i="68"/>
  <c r="E13" i="39" s="1"/>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13" i="39" s="1"/>
  <c r="G38" i="68"/>
  <c r="G39" i="68"/>
  <c r="G40" i="68"/>
  <c r="G41" i="68"/>
  <c r="G42" i="68"/>
  <c r="G43" i="68"/>
  <c r="I13" i="39" s="1"/>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2" i="68"/>
  <c r="E5" i="69" l="1"/>
  <c r="I33" i="21" s="1"/>
  <c r="E11" i="21"/>
  <c r="E33" i="21"/>
  <c r="I5" i="21"/>
  <c r="E5" i="21"/>
  <c r="D73" i="39"/>
  <c r="E73" i="39" s="1"/>
  <c r="F73" i="39" s="1"/>
  <c r="G73" i="39" s="1"/>
  <c r="H73" i="39" s="1"/>
  <c r="I73" i="39" s="1"/>
  <c r="J73" i="39" s="1"/>
  <c r="K73" i="39" s="1"/>
  <c r="L73" i="39" s="1"/>
  <c r="M73" i="39" s="1"/>
  <c r="N73" i="39" s="1"/>
  <c r="J7" i="70"/>
  <c r="M6" i="70"/>
  <c r="L6" i="70"/>
  <c r="M5" i="70"/>
  <c r="M4" i="70"/>
  <c r="L4" i="70"/>
  <c r="L3" i="70"/>
  <c r="D3" i="70"/>
  <c r="D7" i="70" l="1"/>
  <c r="M3" i="70"/>
  <c r="I13" i="3"/>
  <c r="F19" i="6" s="1"/>
  <c r="D3" i="4"/>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AH8" i="59"/>
  <c r="AG8" i="59"/>
  <c r="AE8" i="59"/>
  <c r="AF8" i="59" s="1"/>
  <c r="AD8" i="59"/>
  <c r="Q8" i="59"/>
  <c r="P8" i="59"/>
  <c r="O8" i="59"/>
  <c r="N8" i="59"/>
  <c r="AH9" i="59"/>
  <c r="AG9" i="59"/>
  <c r="AE9" i="59"/>
  <c r="AF9" i="59" s="1"/>
  <c r="AD9" i="59"/>
  <c r="Q10" i="59"/>
  <c r="Q11" i="59"/>
  <c r="P10" i="59"/>
  <c r="P11" i="59"/>
  <c r="O10" i="59"/>
  <c r="O11" i="59"/>
  <c r="N10" i="59"/>
  <c r="N11" i="59"/>
  <c r="AH10" i="59"/>
  <c r="AG10" i="59"/>
  <c r="AE10" i="59"/>
  <c r="AF10" i="59" s="1"/>
  <c r="AD10" i="59"/>
  <c r="F25" i="12"/>
  <c r="AH11" i="59"/>
  <c r="AG11" i="59"/>
  <c r="AE11" i="59"/>
  <c r="AF11" i="59"/>
  <c r="AD11" i="59"/>
  <c r="M15" i="49"/>
  <c r="L15" i="49"/>
  <c r="K15" i="49"/>
  <c r="J15" i="49"/>
  <c r="I15" i="49"/>
  <c r="H15" i="49"/>
  <c r="G15" i="49"/>
  <c r="F15" i="49"/>
  <c r="E15" i="49"/>
  <c r="D15" i="49"/>
  <c r="C15" i="49"/>
  <c r="B15" i="49"/>
  <c r="AH12" i="59"/>
  <c r="AG12" i="59"/>
  <c r="AE12" i="59"/>
  <c r="AF12" i="59" s="1"/>
  <c r="AD12" i="59"/>
  <c r="Q12" i="59"/>
  <c r="P12" i="59"/>
  <c r="O12" i="59"/>
  <c r="N12" i="59"/>
  <c r="L3" i="59"/>
  <c r="AH3" i="59" s="1"/>
  <c r="K3" i="59"/>
  <c r="AG3" i="59" s="1"/>
  <c r="J3" i="59"/>
  <c r="AE3" i="59" s="1"/>
  <c r="AF3" i="59" s="1"/>
  <c r="I3" i="59"/>
  <c r="AD3" i="59" s="1"/>
  <c r="AH13" i="59"/>
  <c r="AG13" i="59"/>
  <c r="AE13" i="59"/>
  <c r="AF13" i="59" s="1"/>
  <c r="AD13" i="59"/>
  <c r="Q13" i="59"/>
  <c r="Q14" i="59"/>
  <c r="P13" i="59"/>
  <c r="P14" i="59"/>
  <c r="O13" i="59"/>
  <c r="O14" i="59"/>
  <c r="N13" i="59"/>
  <c r="N14" i="59"/>
  <c r="AH14" i="59"/>
  <c r="AG14" i="59"/>
  <c r="AE14" i="59"/>
  <c r="AF14" i="59"/>
  <c r="AD14" i="59"/>
  <c r="Q15" i="59"/>
  <c r="P15" i="59"/>
  <c r="O15" i="59"/>
  <c r="N15" i="59"/>
  <c r="M19" i="46"/>
  <c r="J50" i="15"/>
  <c r="J51" i="15"/>
  <c r="D17" i="59"/>
  <c r="AH15" i="59"/>
  <c r="AG15" i="59"/>
  <c r="AE15" i="59"/>
  <c r="AF15" i="59" s="1"/>
  <c r="AD15" i="59"/>
  <c r="AE16" i="59"/>
  <c r="AF16" i="59" s="1"/>
  <c r="AG16" i="59"/>
  <c r="AH16" i="59"/>
  <c r="AD16" i="59"/>
  <c r="Q16" i="59"/>
  <c r="P16" i="59"/>
  <c r="O16" i="59"/>
  <c r="N16" i="59"/>
  <c r="N17" i="59"/>
  <c r="Q17" i="59"/>
  <c r="P17" i="59"/>
  <c r="O17" i="59"/>
  <c r="K59" i="15"/>
  <c r="P62" i="15"/>
  <c r="P75" i="15"/>
  <c r="Q74" i="44"/>
  <c r="Q61" i="44"/>
  <c r="Q60" i="44"/>
  <c r="Q53" i="44"/>
  <c r="J51" i="44"/>
  <c r="J52" i="44" s="1"/>
  <c r="M48" i="44"/>
  <c r="A16" i="55"/>
  <c r="B67" i="63" s="1"/>
  <c r="A15" i="55"/>
  <c r="B66" i="63" s="1"/>
  <c r="A10" i="55"/>
  <c r="B61" i="63" s="1"/>
  <c r="A9" i="55"/>
  <c r="B60" i="63" s="1"/>
  <c r="A8" i="55"/>
  <c r="A6" i="54"/>
  <c r="A8" i="54"/>
  <c r="B53" i="63" s="1"/>
  <c r="A7" i="54"/>
  <c r="A27" i="51"/>
  <c r="B20" i="63" s="1"/>
  <c r="Q18" i="59"/>
  <c r="O18" i="59"/>
  <c r="N19" i="59"/>
  <c r="O19" i="59"/>
  <c r="P19" i="59"/>
  <c r="Q19" i="59"/>
  <c r="N18" i="59"/>
  <c r="P18" i="59"/>
  <c r="K75" i="9"/>
  <c r="K6" i="4"/>
  <c r="O76" i="9" s="1"/>
  <c r="B22" i="31"/>
  <c r="E15" i="66"/>
  <c r="F15" i="66"/>
  <c r="E16" i="66"/>
  <c r="F16" i="66"/>
  <c r="E17" i="66"/>
  <c r="F17" i="66"/>
  <c r="E18" i="66"/>
  <c r="F18" i="66"/>
  <c r="E19" i="66"/>
  <c r="F19" i="66"/>
  <c r="E20" i="66"/>
  <c r="F20" i="66"/>
  <c r="E21" i="66"/>
  <c r="F21" i="66"/>
  <c r="E22" i="66"/>
  <c r="F22" i="66"/>
  <c r="E23" i="66"/>
  <c r="F23" i="66"/>
  <c r="B3" i="66"/>
  <c r="B16" i="59"/>
  <c r="B15" i="59" s="1"/>
  <c r="B14" i="59" s="1"/>
  <c r="E16" i="59"/>
  <c r="E15" i="59" s="1"/>
  <c r="E14" i="59" s="1"/>
  <c r="E13" i="59" s="1"/>
  <c r="E12" i="59" s="1"/>
  <c r="E11" i="59" s="1"/>
  <c r="E10" i="59" s="1"/>
  <c r="E9" i="59" s="1"/>
  <c r="F16" i="59"/>
  <c r="V16" i="59" s="1"/>
  <c r="S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H31" i="59"/>
  <c r="AG31" i="59"/>
  <c r="AE31" i="59"/>
  <c r="AF31" i="59" s="1"/>
  <c r="AD31" i="59"/>
  <c r="AD32" i="59"/>
  <c r="AE32" i="59"/>
  <c r="AF32" i="59" s="1"/>
  <c r="AG32" i="59"/>
  <c r="AH32" i="59"/>
  <c r="S2" i="31"/>
  <c r="M2" i="31"/>
  <c r="N2" i="31"/>
  <c r="O2" i="31"/>
  <c r="P2" i="31"/>
  <c r="Q2" i="31"/>
  <c r="R2" i="31"/>
  <c r="C16" i="59"/>
  <c r="C15" i="59"/>
  <c r="C3" i="65"/>
  <c r="C1" i="65"/>
  <c r="N1" i="65" s="1"/>
  <c r="T16" i="59"/>
  <c r="D16" i="59"/>
  <c r="B76" i="63"/>
  <c r="M5" i="54"/>
  <c r="A23" i="51"/>
  <c r="Y12" i="46"/>
  <c r="AA9" i="46"/>
  <c r="AB9" i="46"/>
  <c r="AB10" i="46" s="1"/>
  <c r="AC9" i="46"/>
  <c r="AC10" i="46" s="1"/>
  <c r="AD9" i="46"/>
  <c r="AD10" i="46" s="1"/>
  <c r="AE9" i="46"/>
  <c r="AE10" i="46" s="1"/>
  <c r="AF9" i="46"/>
  <c r="AF10" i="46"/>
  <c r="AG9" i="46"/>
  <c r="AH9" i="46"/>
  <c r="AH10" i="46" s="1"/>
  <c r="AI9" i="46"/>
  <c r="AI10" i="46" s="1"/>
  <c r="AJ9" i="46"/>
  <c r="AJ10" i="46" s="1"/>
  <c r="Z9" i="46"/>
  <c r="Z10" i="46" s="1"/>
  <c r="AG10" i="46"/>
  <c r="AA10" i="46"/>
  <c r="Y10" i="46"/>
  <c r="Z12" i="46"/>
  <c r="AI12" i="46"/>
  <c r="AG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I19" i="46"/>
  <c r="Q20" i="59"/>
  <c r="AB19" i="59" s="1"/>
  <c r="P20" i="59"/>
  <c r="O20" i="59"/>
  <c r="Y20" i="59" s="1"/>
  <c r="Z20" i="59" s="1"/>
  <c r="N20" i="59"/>
  <c r="D81" i="59"/>
  <c r="F80" i="59"/>
  <c r="F79" i="59" s="1"/>
  <c r="F78" i="59" s="1"/>
  <c r="E80" i="59"/>
  <c r="E79" i="59" s="1"/>
  <c r="E78" i="59" s="1"/>
  <c r="C80" i="59"/>
  <c r="D80" i="59" s="1"/>
  <c r="B80" i="59"/>
  <c r="B79" i="59" s="1"/>
  <c r="B78" i="59"/>
  <c r="D77" i="59"/>
  <c r="F76" i="59"/>
  <c r="F75" i="59" s="1"/>
  <c r="F74" i="59" s="1"/>
  <c r="E76" i="59"/>
  <c r="E75" i="59"/>
  <c r="E74" i="59" s="1"/>
  <c r="C76" i="59"/>
  <c r="B76" i="59"/>
  <c r="B75" i="59" s="1"/>
  <c r="B74" i="59" s="1"/>
  <c r="D73" i="59"/>
  <c r="Q72" i="59"/>
  <c r="P72" i="59"/>
  <c r="O72" i="59"/>
  <c r="N72" i="59"/>
  <c r="F72" i="59"/>
  <c r="V72" i="59" s="1"/>
  <c r="E72" i="59"/>
  <c r="U72" i="59" s="1"/>
  <c r="C72" i="59"/>
  <c r="B72" i="59"/>
  <c r="S72" i="59" s="1"/>
  <c r="Q71" i="59"/>
  <c r="P71" i="59"/>
  <c r="O71" i="59"/>
  <c r="N71" i="59"/>
  <c r="F71" i="59"/>
  <c r="F70" i="59" s="1"/>
  <c r="B71" i="59"/>
  <c r="B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U64" i="59" s="1"/>
  <c r="C64" i="59"/>
  <c r="B64" i="59"/>
  <c r="S64" i="59" s="1"/>
  <c r="Q63" i="59"/>
  <c r="P63" i="59"/>
  <c r="O63" i="59"/>
  <c r="N63" i="59"/>
  <c r="F63" i="59"/>
  <c r="F62" i="59" s="1"/>
  <c r="B63" i="59"/>
  <c r="B62" i="59" s="1"/>
  <c r="Q62" i="59"/>
  <c r="P62" i="59"/>
  <c r="O62" i="59"/>
  <c r="N62" i="59"/>
  <c r="Q61" i="59"/>
  <c r="P61" i="59"/>
  <c r="O61" i="59"/>
  <c r="N61" i="59"/>
  <c r="D61" i="59"/>
  <c r="F60" i="59"/>
  <c r="V60" i="59" s="1"/>
  <c r="E60" i="59"/>
  <c r="E59" i="59" s="1"/>
  <c r="C60" i="59"/>
  <c r="T60" i="59" s="1"/>
  <c r="B60" i="59"/>
  <c r="N60" i="59"/>
  <c r="B59" i="59"/>
  <c r="N59" i="59" s="1"/>
  <c r="D57" i="59"/>
  <c r="Q56" i="59"/>
  <c r="P56" i="59"/>
  <c r="O56" i="59"/>
  <c r="N56" i="59"/>
  <c r="Q55" i="59"/>
  <c r="P55" i="59"/>
  <c r="O55" i="59"/>
  <c r="N55" i="59"/>
  <c r="Q54" i="59"/>
  <c r="P54" i="59"/>
  <c r="O54" i="59"/>
  <c r="N54" i="59"/>
  <c r="Q53" i="59"/>
  <c r="F54" i="59"/>
  <c r="F55" i="59" s="1"/>
  <c r="F56" i="59" s="1"/>
  <c r="V56" i="59" s="1"/>
  <c r="P53" i="59"/>
  <c r="E54" i="59"/>
  <c r="E55" i="59" s="1"/>
  <c r="E56" i="59" s="1"/>
  <c r="U56" i="59" s="1"/>
  <c r="O53" i="59"/>
  <c r="C54" i="59" s="1"/>
  <c r="D54" i="59" s="1"/>
  <c r="N53" i="59"/>
  <c r="B54" i="59" s="1"/>
  <c r="D53" i="59"/>
  <c r="Q52" i="59"/>
  <c r="P52" i="59"/>
  <c r="O52" i="59"/>
  <c r="N52" i="59"/>
  <c r="Q51" i="59"/>
  <c r="P51" i="59"/>
  <c r="O51" i="59"/>
  <c r="N51" i="59"/>
  <c r="Q50" i="59"/>
  <c r="P50" i="59"/>
  <c r="O50" i="59"/>
  <c r="N50" i="59"/>
  <c r="Q49" i="59"/>
  <c r="F50" i="59" s="1"/>
  <c r="F51"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C47" i="59" s="1"/>
  <c r="N46" i="59"/>
  <c r="Q45" i="59"/>
  <c r="F46" i="59" s="1"/>
  <c r="F47" i="59" s="1"/>
  <c r="F48" i="59" s="1"/>
  <c r="V48"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c r="E43" i="59" s="1"/>
  <c r="E44" i="59" s="1"/>
  <c r="U44" i="59" s="1"/>
  <c r="O41" i="59"/>
  <c r="C42" i="59"/>
  <c r="D42" i="59" s="1"/>
  <c r="N41" i="59"/>
  <c r="B42" i="59"/>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P33" i="59"/>
  <c r="E34" i="59"/>
  <c r="E35" i="59" s="1"/>
  <c r="E36" i="59" s="1"/>
  <c r="U36" i="59" s="1"/>
  <c r="O33" i="59"/>
  <c r="C34" i="59" s="1"/>
  <c r="C35" i="59" s="1"/>
  <c r="C36" i="59" s="1"/>
  <c r="N33" i="59"/>
  <c r="B34" i="59" s="1"/>
  <c r="D33" i="59"/>
  <c r="Q32" i="59"/>
  <c r="P32" i="59"/>
  <c r="O32" i="59"/>
  <c r="N32" i="59"/>
  <c r="Q31" i="59"/>
  <c r="AB31" i="59" s="1"/>
  <c r="P31" i="59"/>
  <c r="AA31" i="59" s="1"/>
  <c r="O31" i="59"/>
  <c r="Y31" i="59"/>
  <c r="Z31" i="59" s="1"/>
  <c r="N31" i="59"/>
  <c r="X31" i="59" s="1"/>
  <c r="Q30" i="59"/>
  <c r="P30" i="59"/>
  <c r="O30" i="59"/>
  <c r="Y30" i="59" s="1"/>
  <c r="Z30" i="59" s="1"/>
  <c r="N30" i="59"/>
  <c r="X30" i="59" s="1"/>
  <c r="Q29" i="59"/>
  <c r="P29" i="59"/>
  <c r="O29" i="59"/>
  <c r="C30" i="59" s="1"/>
  <c r="C31" i="59" s="1"/>
  <c r="N29" i="59"/>
  <c r="B30" i="59" s="1"/>
  <c r="B31" i="59" s="1"/>
  <c r="B32" i="59" s="1"/>
  <c r="S32" i="59" s="1"/>
  <c r="D29" i="59"/>
  <c r="Q28" i="59"/>
  <c r="P28" i="59"/>
  <c r="AA28" i="59" s="1"/>
  <c r="O28" i="59"/>
  <c r="N28" i="59"/>
  <c r="X28" i="59" s="1"/>
  <c r="Q27" i="59"/>
  <c r="P27" i="59"/>
  <c r="AA27" i="59" s="1"/>
  <c r="O27" i="59"/>
  <c r="N27" i="59"/>
  <c r="X27" i="59" s="1"/>
  <c r="Q26" i="59"/>
  <c r="P26" i="59"/>
  <c r="AA26" i="59" s="1"/>
  <c r="O26" i="59"/>
  <c r="N26" i="59"/>
  <c r="X26" i="59" s="1"/>
  <c r="Q25" i="59"/>
  <c r="F26" i="59"/>
  <c r="F27" i="59" s="1"/>
  <c r="F28" i="59" s="1"/>
  <c r="V28" i="59" s="1"/>
  <c r="P25" i="59"/>
  <c r="E26" i="59"/>
  <c r="E27" i="59" s="1"/>
  <c r="E28" i="59" s="1"/>
  <c r="U28" i="59" s="1"/>
  <c r="O25" i="59"/>
  <c r="N25" i="59"/>
  <c r="D25" i="59"/>
  <c r="Q24" i="59"/>
  <c r="P24" i="59"/>
  <c r="O24" i="59"/>
  <c r="N24" i="59"/>
  <c r="Q23" i="59"/>
  <c r="P23" i="59"/>
  <c r="O23" i="59"/>
  <c r="N23" i="59"/>
  <c r="Q22" i="59"/>
  <c r="P22" i="59"/>
  <c r="O22" i="59"/>
  <c r="N22" i="59"/>
  <c r="Q21" i="59"/>
  <c r="P21" i="59"/>
  <c r="O21" i="59"/>
  <c r="C22" i="59" s="1"/>
  <c r="N21" i="59"/>
  <c r="B22" i="59" s="1"/>
  <c r="B23" i="59" s="1"/>
  <c r="B24" i="59" s="1"/>
  <c r="S24" i="59" s="1"/>
  <c r="D21" i="59"/>
  <c r="X20" i="59"/>
  <c r="Y18" i="59"/>
  <c r="Z18" i="59" s="1"/>
  <c r="AB17" i="59"/>
  <c r="S60" i="59"/>
  <c r="F35" i="59"/>
  <c r="F36" i="59" s="1"/>
  <c r="V36" i="59" s="1"/>
  <c r="F52" i="59"/>
  <c r="V52" i="59" s="1"/>
  <c r="C43" i="59"/>
  <c r="C44" i="59" s="1"/>
  <c r="B58" i="59"/>
  <c r="N57" i="59" s="1"/>
  <c r="D60" i="59"/>
  <c r="U60" i="59"/>
  <c r="E63" i="59"/>
  <c r="E62" i="59" s="1"/>
  <c r="D64" i="59"/>
  <c r="C67" i="59"/>
  <c r="C66" i="59" s="1"/>
  <c r="D66" i="59" s="1"/>
  <c r="D68" i="59"/>
  <c r="D72" i="59"/>
  <c r="U16" i="4"/>
  <c r="S16" i="4"/>
  <c r="Q16" i="4"/>
  <c r="O16" i="4"/>
  <c r="M16" i="4"/>
  <c r="K16" i="4"/>
  <c r="D67" i="59"/>
  <c r="N58" i="59"/>
  <c r="D43" i="59"/>
  <c r="D35" i="59"/>
  <c r="O27" i="6"/>
  <c r="N27" i="6"/>
  <c r="P26" i="6"/>
  <c r="L26" i="6"/>
  <c r="P25" i="6"/>
  <c r="L25" i="6"/>
  <c r="P24" i="6"/>
  <c r="L24" i="6"/>
  <c r="P23" i="6"/>
  <c r="L23" i="6"/>
  <c r="P22" i="6"/>
  <c r="L22" i="6"/>
  <c r="P21" i="6"/>
  <c r="L21" i="6"/>
  <c r="P20" i="6"/>
  <c r="P19" i="6"/>
  <c r="P27"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C21" i="21"/>
  <c r="Q27" i="40"/>
  <c r="Z27" i="40" s="1"/>
  <c r="D96" i="40"/>
  <c r="E96" i="40" s="1"/>
  <c r="F96" i="40" s="1"/>
  <c r="F27" i="40"/>
  <c r="AA27" i="40" s="1"/>
  <c r="Q31" i="39"/>
  <c r="Z31" i="39" s="1"/>
  <c r="D105" i="39"/>
  <c r="E105" i="39" s="1"/>
  <c r="F105" i="39" s="1"/>
  <c r="G20" i="20"/>
  <c r="B85" i="46" s="1"/>
  <c r="C22" i="20"/>
  <c r="B65" i="46" s="1"/>
  <c r="S18" i="36"/>
  <c r="S18" i="35"/>
  <c r="S21" i="37"/>
  <c r="B74" i="46"/>
  <c r="E66" i="36"/>
  <c r="H18" i="35"/>
  <c r="J18" i="35"/>
  <c r="H21" i="37"/>
  <c r="J21" i="37"/>
  <c r="E84" i="34"/>
  <c r="F84" i="34" s="1"/>
  <c r="G84" i="34" s="1"/>
  <c r="J21" i="34"/>
  <c r="H21" i="34"/>
  <c r="F21" i="33"/>
  <c r="H21" i="33"/>
  <c r="J21" i="33"/>
  <c r="H21" i="21"/>
  <c r="J21" i="21"/>
  <c r="H27" i="40"/>
  <c r="H31" i="39"/>
  <c r="AB31" i="39" s="1"/>
  <c r="F23" i="15"/>
  <c r="D22" i="15"/>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F3" i="35"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W30" i="36" s="1"/>
  <c r="H30" i="36"/>
  <c r="U30" i="36" s="1"/>
  <c r="F30" i="36"/>
  <c r="AA30" i="36" s="1"/>
  <c r="C26" i="35"/>
  <c r="C79" i="35" s="1"/>
  <c r="J26" i="35" s="1"/>
  <c r="W26" i="35" s="1"/>
  <c r="J31" i="35"/>
  <c r="H31" i="35"/>
  <c r="AB31" i="35" s="1"/>
  <c r="F31" i="35"/>
  <c r="D87" i="35"/>
  <c r="E87" i="35" s="1"/>
  <c r="F87" i="35" s="1"/>
  <c r="G87" i="35" s="1"/>
  <c r="H87" i="35" s="1"/>
  <c r="I87" i="35" s="1"/>
  <c r="J87" i="35" s="1"/>
  <c r="K87" i="35" s="1"/>
  <c r="L87" i="35" s="1"/>
  <c r="M87" i="35" s="1"/>
  <c r="H34" i="37"/>
  <c r="AB34" i="37" s="1"/>
  <c r="D101" i="37"/>
  <c r="E101" i="37" s="1"/>
  <c r="F101" i="37" s="1"/>
  <c r="G101" i="37" s="1"/>
  <c r="F34" i="37"/>
  <c r="D99" i="37"/>
  <c r="E99" i="37" s="1"/>
  <c r="F99" i="37" s="1"/>
  <c r="H42" i="34"/>
  <c r="J42" i="34"/>
  <c r="F42" i="34"/>
  <c r="J38" i="34"/>
  <c r="D114" i="34"/>
  <c r="F38" i="34"/>
  <c r="D112" i="34"/>
  <c r="E112" i="34" s="1"/>
  <c r="F112" i="34" s="1"/>
  <c r="G112" i="34" s="1"/>
  <c r="H112" i="34" s="1"/>
  <c r="I112" i="34" s="1"/>
  <c r="J112" i="34" s="1"/>
  <c r="K112" i="34" s="1"/>
  <c r="L112" i="34" s="1"/>
  <c r="M112" i="34" s="1"/>
  <c r="F40" i="33"/>
  <c r="S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H41" i="40" s="1"/>
  <c r="U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D103" i="39"/>
  <c r="E103" i="39" s="1"/>
  <c r="D101" i="39"/>
  <c r="E101" i="39" s="1"/>
  <c r="F101" i="39" s="1"/>
  <c r="G101" i="39" s="1"/>
  <c r="Q41" i="39"/>
  <c r="Z41" i="39" s="1"/>
  <c r="Q42" i="39"/>
  <c r="Z42" i="39" s="1"/>
  <c r="Q43" i="39"/>
  <c r="Z43" i="39" s="1"/>
  <c r="Q44" i="39"/>
  <c r="Z44" i="39"/>
  <c r="Q45" i="39"/>
  <c r="Z45" i="39" s="1"/>
  <c r="Q46" i="39"/>
  <c r="Z46" i="39" s="1"/>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AB26" i="37" s="1"/>
  <c r="D79" i="37"/>
  <c r="E79" i="37" s="1"/>
  <c r="D75" i="37"/>
  <c r="E75" i="37" s="1"/>
  <c r="F75" i="37" s="1"/>
  <c r="D73" i="37"/>
  <c r="E73" i="37"/>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B57" i="35"/>
  <c r="B61" i="35"/>
  <c r="B59" i="35"/>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9" i="35"/>
  <c r="J8" i="35"/>
  <c r="H8" i="35"/>
  <c r="F8" i="35"/>
  <c r="AA8" i="35" s="1"/>
  <c r="C7" i="35"/>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s="1"/>
  <c r="B89" i="34"/>
  <c r="J27" i="34" s="1"/>
  <c r="D88" i="34"/>
  <c r="E88" i="34" s="1"/>
  <c r="F88" i="34" s="1"/>
  <c r="G88" i="34" s="1"/>
  <c r="H88" i="34"/>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59" i="34" s="1"/>
  <c r="E59" i="34" s="1"/>
  <c r="F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53" i="46" s="1"/>
  <c r="C20" i="20"/>
  <c r="B76" i="46" s="1"/>
  <c r="C18" i="20"/>
  <c r="C17" i="20"/>
  <c r="B58" i="46" s="1"/>
  <c r="C16" i="20"/>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c r="M123" i="21" s="1"/>
  <c r="H42" i="21"/>
  <c r="AB42" i="21" s="1"/>
  <c r="D119" i="21"/>
  <c r="E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F45" i="21" s="1"/>
  <c r="B126" i="21"/>
  <c r="B98" i="21"/>
  <c r="J31" i="21" s="1"/>
  <c r="AC31" i="21" s="1"/>
  <c r="B96" i="21"/>
  <c r="H30" i="21" s="1"/>
  <c r="B94" i="21"/>
  <c r="H29" i="21" s="1"/>
  <c r="B92" i="21"/>
  <c r="H28" i="21" s="1"/>
  <c r="B90" i="21"/>
  <c r="H27" i="21" s="1"/>
  <c r="B74" i="21"/>
  <c r="F14" i="21" s="1"/>
  <c r="B72" i="21"/>
  <c r="J13" i="21" s="1"/>
  <c r="AC13" i="21" s="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H43" i="21"/>
  <c r="AB43" i="21" s="1"/>
  <c r="F32" i="21"/>
  <c r="AA32" i="21" s="1"/>
  <c r="F38" i="21"/>
  <c r="S38" i="21" s="1"/>
  <c r="F36" i="21"/>
  <c r="S36" i="21" s="1"/>
  <c r="F39" i="21"/>
  <c r="AA39" i="21" s="1"/>
  <c r="J40" i="21"/>
  <c r="W40" i="21" s="1"/>
  <c r="J8" i="21"/>
  <c r="AC8" i="21" s="1"/>
  <c r="H8" i="21"/>
  <c r="AB8" i="21" s="1"/>
  <c r="H9" i="21"/>
  <c r="H10" i="21"/>
  <c r="U10" i="21" s="1"/>
  <c r="H39" i="21"/>
  <c r="AB39" i="21" s="1"/>
  <c r="J34" i="21"/>
  <c r="H36" i="21"/>
  <c r="U36" i="21" s="1"/>
  <c r="J10" i="21"/>
  <c r="AC10" i="21" s="1"/>
  <c r="H26" i="21"/>
  <c r="J12" i="21"/>
  <c r="W12" i="21" s="1"/>
  <c r="J26" i="21"/>
  <c r="W26" i="21" s="1"/>
  <c r="F26" i="21"/>
  <c r="AA26" i="21" s="1"/>
  <c r="AB41" i="21"/>
  <c r="S41" i="21"/>
  <c r="AA41" i="21"/>
  <c r="S10" i="39"/>
  <c r="U30" i="37"/>
  <c r="E103" i="37"/>
  <c r="F103" i="37"/>
  <c r="F39" i="37"/>
  <c r="S39" i="37"/>
  <c r="W39" i="37"/>
  <c r="F29" i="36"/>
  <c r="F16" i="36"/>
  <c r="AA16" i="36" s="1"/>
  <c r="U22" i="36"/>
  <c r="W22" i="36"/>
  <c r="AC31" i="36"/>
  <c r="J33" i="36"/>
  <c r="W33" i="36"/>
  <c r="AC27" i="35"/>
  <c r="U31" i="35"/>
  <c r="W36" i="35"/>
  <c r="W24" i="35"/>
  <c r="S31" i="35"/>
  <c r="W31" i="35"/>
  <c r="F36" i="34"/>
  <c r="S36" i="34"/>
  <c r="W39" i="34"/>
  <c r="H39" i="33"/>
  <c r="AB39" i="33" s="1"/>
  <c r="F26" i="33"/>
  <c r="AA26" i="33" s="1"/>
  <c r="U33" i="33"/>
  <c r="W38" i="33"/>
  <c r="S33" i="33"/>
  <c r="W33" i="33"/>
  <c r="U38" i="33"/>
  <c r="H39" i="37"/>
  <c r="AB39" i="37" s="1"/>
  <c r="AB27" i="35"/>
  <c r="S10" i="40"/>
  <c r="W10" i="40"/>
  <c r="S11" i="40"/>
  <c r="U11" i="40"/>
  <c r="S36" i="40"/>
  <c r="U36" i="40"/>
  <c r="S40" i="39"/>
  <c r="S36" i="39"/>
  <c r="F11" i="21"/>
  <c r="U36" i="39"/>
  <c r="S42" i="39"/>
  <c r="H32" i="33"/>
  <c r="AB32" i="33" s="1"/>
  <c r="H11" i="21"/>
  <c r="U11" i="21" s="1"/>
  <c r="J11" i="21"/>
  <c r="W11" i="21" s="1"/>
  <c r="F100" i="40"/>
  <c r="J27" i="36"/>
  <c r="W27" i="36" s="1"/>
  <c r="J34" i="36"/>
  <c r="W34" i="36" s="1"/>
  <c r="J30" i="35"/>
  <c r="W30" i="35" s="1"/>
  <c r="F22" i="35"/>
  <c r="H10" i="35"/>
  <c r="U10" i="35" s="1"/>
  <c r="U29" i="36"/>
  <c r="U24" i="36"/>
  <c r="E85" i="36"/>
  <c r="F85" i="36" s="1"/>
  <c r="G85" i="36" s="1"/>
  <c r="H85" i="36" s="1"/>
  <c r="I85" i="36" s="1"/>
  <c r="J85" i="36" s="1"/>
  <c r="K85" i="36" s="1"/>
  <c r="L85" i="36" s="1"/>
  <c r="M85" i="36" s="1"/>
  <c r="J29" i="36"/>
  <c r="F12" i="36"/>
  <c r="S12" i="36" s="1"/>
  <c r="F24" i="36"/>
  <c r="F34" i="36"/>
  <c r="S34" i="36" s="1"/>
  <c r="S10" i="36"/>
  <c r="H16" i="35"/>
  <c r="U16" i="35" s="1"/>
  <c r="H33" i="35"/>
  <c r="F35" i="37"/>
  <c r="AA35" i="37" s="1"/>
  <c r="H101" i="37"/>
  <c r="I101" i="37" s="1"/>
  <c r="J101" i="37" s="1"/>
  <c r="K101" i="37" s="1"/>
  <c r="L101" i="37"/>
  <c r="M101" i="37" s="1"/>
  <c r="J34" i="37"/>
  <c r="W34" i="37" s="1"/>
  <c r="AA39" i="37"/>
  <c r="H43" i="34"/>
  <c r="U42" i="34"/>
  <c r="E114" i="34"/>
  <c r="H36" i="34"/>
  <c r="U36" i="34" s="1"/>
  <c r="F37" i="34"/>
  <c r="AA37" i="34" s="1"/>
  <c r="F33" i="34"/>
  <c r="S33" i="34" s="1"/>
  <c r="F19" i="34"/>
  <c r="AA19" i="34" s="1"/>
  <c r="J10" i="34"/>
  <c r="AC10" i="34" s="1"/>
  <c r="U9" i="34"/>
  <c r="J28" i="34"/>
  <c r="W28" i="34" s="1"/>
  <c r="S38" i="33"/>
  <c r="E113" i="33"/>
  <c r="F36" i="33"/>
  <c r="S36" i="33" s="1"/>
  <c r="F19" i="33"/>
  <c r="S19" i="33" s="1"/>
  <c r="J19" i="33"/>
  <c r="W40" i="33"/>
  <c r="G86" i="40"/>
  <c r="AB30" i="36"/>
  <c r="AC34" i="36"/>
  <c r="H29" i="35"/>
  <c r="U34" i="37"/>
  <c r="S34" i="37"/>
  <c r="AA34" i="37"/>
  <c r="AC43" i="34"/>
  <c r="AB42" i="34"/>
  <c r="AB40" i="34"/>
  <c r="J19" i="34"/>
  <c r="F113" i="33"/>
  <c r="G113" i="33" s="1"/>
  <c r="H113" i="33"/>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AL5" i="3"/>
  <c r="BQ13" i="3"/>
  <c r="J14" i="21"/>
  <c r="AC14" i="21" s="1"/>
  <c r="H14" i="21"/>
  <c r="F28" i="21"/>
  <c r="S28" i="21" s="1"/>
  <c r="J44" i="21"/>
  <c r="AC44" i="21" s="1"/>
  <c r="H44" i="21"/>
  <c r="U44" i="21" s="1"/>
  <c r="F44" i="21"/>
  <c r="AA44" i="21" s="1"/>
  <c r="H46" i="21"/>
  <c r="J46" i="21"/>
  <c r="W46" i="21" s="1"/>
  <c r="F46" i="21"/>
  <c r="AA46" i="21" s="1"/>
  <c r="H28" i="33"/>
  <c r="AB28" i="33" s="1"/>
  <c r="F33" i="35"/>
  <c r="S33" i="35"/>
  <c r="J33" i="35"/>
  <c r="W33" i="35"/>
  <c r="F30" i="35"/>
  <c r="AA30" i="35"/>
  <c r="E89" i="35"/>
  <c r="F89" i="35"/>
  <c r="G89" i="35" s="1"/>
  <c r="H89" i="35" s="1"/>
  <c r="I89" i="35" s="1"/>
  <c r="J89" i="35" s="1"/>
  <c r="K89" i="35" s="1"/>
  <c r="L89" i="35" s="1"/>
  <c r="M89" i="35" s="1"/>
  <c r="H10" i="36"/>
  <c r="F28" i="36"/>
  <c r="S28" i="36" s="1"/>
  <c r="F27" i="36"/>
  <c r="H13" i="21"/>
  <c r="F13" i="21"/>
  <c r="AA13" i="21" s="1"/>
  <c r="J27" i="21"/>
  <c r="W27" i="21" s="1"/>
  <c r="J29" i="21"/>
  <c r="AC29" i="21" s="1"/>
  <c r="F29" i="21"/>
  <c r="S29" i="21" s="1"/>
  <c r="H31" i="21"/>
  <c r="U31" i="21" s="1"/>
  <c r="J45" i="21"/>
  <c r="W45" i="21" s="1"/>
  <c r="J27" i="33"/>
  <c r="AC27" i="33" s="1"/>
  <c r="F27" i="33"/>
  <c r="F13" i="33"/>
  <c r="S13" i="33" s="1"/>
  <c r="J29" i="33"/>
  <c r="W29" i="33" s="1"/>
  <c r="J31" i="33"/>
  <c r="H31" i="33"/>
  <c r="U31" i="33" s="1"/>
  <c r="S31" i="33"/>
  <c r="J45" i="33"/>
  <c r="W45" i="33"/>
  <c r="F45" i="33"/>
  <c r="S45" i="33"/>
  <c r="H28" i="36"/>
  <c r="U28" i="36"/>
  <c r="H32" i="36"/>
  <c r="AB32" i="36"/>
  <c r="J32" i="36"/>
  <c r="J11" i="36"/>
  <c r="W11" i="36" s="1"/>
  <c r="H13" i="36"/>
  <c r="J13" i="36"/>
  <c r="W13" i="36" s="1"/>
  <c r="F13" i="36"/>
  <c r="S13" i="36" s="1"/>
  <c r="G89" i="37"/>
  <c r="H89" i="37" s="1"/>
  <c r="I89" i="37" s="1"/>
  <c r="J89" i="37" s="1"/>
  <c r="K89" i="37" s="1"/>
  <c r="L89" i="37" s="1"/>
  <c r="M89" i="37" s="1"/>
  <c r="J29" i="37"/>
  <c r="W29" i="37"/>
  <c r="F29" i="37"/>
  <c r="AA29" i="37"/>
  <c r="F105" i="37"/>
  <c r="J37" i="37"/>
  <c r="AC37" i="37" s="1"/>
  <c r="H37" i="37"/>
  <c r="U37" i="37" s="1"/>
  <c r="H40" i="37"/>
  <c r="J40" i="37"/>
  <c r="F40" i="37"/>
  <c r="AA40" i="37" s="1"/>
  <c r="H14" i="33"/>
  <c r="U14" i="33" s="1"/>
  <c r="F14" i="33"/>
  <c r="AA14" i="33" s="1"/>
  <c r="J14" i="33"/>
  <c r="AC14" i="33" s="1"/>
  <c r="H30" i="33"/>
  <c r="AB30" i="33" s="1"/>
  <c r="F30" i="33"/>
  <c r="S30" i="33" s="1"/>
  <c r="J30" i="33"/>
  <c r="AC30" i="33" s="1"/>
  <c r="J44" i="33"/>
  <c r="AC44" i="33" s="1"/>
  <c r="J46" i="33"/>
  <c r="F46" i="33"/>
  <c r="AA46" i="33" s="1"/>
  <c r="H46" i="33"/>
  <c r="H13" i="34"/>
  <c r="U13" i="34" s="1"/>
  <c r="J13" i="34"/>
  <c r="W13" i="34" s="1"/>
  <c r="F13" i="34"/>
  <c r="AA13" i="34" s="1"/>
  <c r="J29" i="34"/>
  <c r="AC29" i="34" s="1"/>
  <c r="F29" i="34"/>
  <c r="S29" i="34" s="1"/>
  <c r="H29" i="34"/>
  <c r="J31" i="34"/>
  <c r="H31" i="34"/>
  <c r="F31" i="34"/>
  <c r="S31" i="34" s="1"/>
  <c r="H45" i="34"/>
  <c r="U45" i="34" s="1"/>
  <c r="J45" i="34"/>
  <c r="W45" i="34" s="1"/>
  <c r="F45" i="34"/>
  <c r="AA45" i="34" s="1"/>
  <c r="H47" i="34"/>
  <c r="U47" i="34" s="1"/>
  <c r="F47" i="34"/>
  <c r="J47" i="34"/>
  <c r="AC47" i="34" s="1"/>
  <c r="F13" i="35"/>
  <c r="S13" i="35" s="1"/>
  <c r="J13" i="35"/>
  <c r="AC13" i="35" s="1"/>
  <c r="H13" i="35"/>
  <c r="U13" i="35" s="1"/>
  <c r="J25" i="35"/>
  <c r="AC25" i="35" s="1"/>
  <c r="F25" i="35"/>
  <c r="H25" i="35"/>
  <c r="AB25" i="35" s="1"/>
  <c r="J35" i="35"/>
  <c r="F35" i="35"/>
  <c r="S35" i="35" s="1"/>
  <c r="H35" i="35"/>
  <c r="U35" i="35" s="1"/>
  <c r="J25" i="36"/>
  <c r="W25" i="36" s="1"/>
  <c r="F25" i="36"/>
  <c r="H25" i="36"/>
  <c r="AB25" i="36" s="1"/>
  <c r="H13" i="37"/>
  <c r="AB13" i="37" s="1"/>
  <c r="F13" i="37"/>
  <c r="S13" i="37" s="1"/>
  <c r="J13" i="37"/>
  <c r="F28" i="37"/>
  <c r="AA28" i="37" s="1"/>
  <c r="J28" i="37"/>
  <c r="AC28" i="37" s="1"/>
  <c r="H28" i="37"/>
  <c r="U28" i="37" s="1"/>
  <c r="H38" i="37"/>
  <c r="AB38" i="37" s="1"/>
  <c r="F38" i="37"/>
  <c r="F14" i="37"/>
  <c r="AA14" i="37" s="1"/>
  <c r="F27" i="37"/>
  <c r="J14" i="37"/>
  <c r="W14" i="37" s="1"/>
  <c r="J27" i="37"/>
  <c r="W27" i="37" s="1"/>
  <c r="AB13" i="35"/>
  <c r="J36" i="37"/>
  <c r="G105" i="37"/>
  <c r="AB28" i="36"/>
  <c r="S46" i="21"/>
  <c r="W14" i="21"/>
  <c r="S46" i="33"/>
  <c r="AC13" i="36"/>
  <c r="AB31" i="33"/>
  <c r="AB44" i="21"/>
  <c r="G529" i="3"/>
  <c r="G521" i="3"/>
  <c r="G508" i="3"/>
  <c r="G17" i="3"/>
  <c r="G557" i="3"/>
  <c r="G549" i="3"/>
  <c r="G545" i="3"/>
  <c r="BL569" i="3"/>
  <c r="BL557" i="3"/>
  <c r="BL553" i="3"/>
  <c r="BL545" i="3"/>
  <c r="BL535" i="3"/>
  <c r="BL527" i="3"/>
  <c r="BL519" i="3"/>
  <c r="BL511" i="3"/>
  <c r="G16" i="3"/>
  <c r="BL555" i="3"/>
  <c r="BL541" i="3"/>
  <c r="BL533" i="3"/>
  <c r="G514" i="3"/>
  <c r="G510" i="3"/>
  <c r="BL503" i="3"/>
  <c r="BL495" i="3"/>
  <c r="BL485" i="3"/>
  <c r="G18" i="3"/>
  <c r="BA569" i="3"/>
  <c r="AZ569" i="3" s="1"/>
  <c r="BA559" i="3"/>
  <c r="BA557" i="3"/>
  <c r="AZ557" i="3" s="1"/>
  <c r="BA555" i="3"/>
  <c r="AZ555" i="3" s="1"/>
  <c r="BA545" i="3"/>
  <c r="BA543" i="3"/>
  <c r="BA541" i="3"/>
  <c r="AZ541" i="3" s="1"/>
  <c r="BA531" i="3"/>
  <c r="BA521" i="3"/>
  <c r="BA509" i="3"/>
  <c r="BA493" i="3"/>
  <c r="BA487" i="3"/>
  <c r="BA19" i="3"/>
  <c r="BA562" i="3"/>
  <c r="BA558" i="3"/>
  <c r="BA556" i="3"/>
  <c r="AZ556" i="3" s="1"/>
  <c r="BA554" i="3"/>
  <c r="BA550" i="3"/>
  <c r="BA546" i="3"/>
  <c r="BA544" i="3"/>
  <c r="BA536" i="3"/>
  <c r="BA528" i="3"/>
  <c r="BA520" i="3"/>
  <c r="BA508" i="3"/>
  <c r="BA492" i="3"/>
  <c r="BA488" i="3"/>
  <c r="AZ488" i="3" s="1"/>
  <c r="BA20" i="3"/>
  <c r="AZ545" i="3"/>
  <c r="G558" i="3"/>
  <c r="G556" i="3"/>
  <c r="G554" i="3"/>
  <c r="G550" i="3"/>
  <c r="G546" i="3"/>
  <c r="BL543" i="3"/>
  <c r="AZ543" i="3" s="1"/>
  <c r="BA542" i="3"/>
  <c r="AZ542" i="3" s="1"/>
  <c r="AC542" i="3"/>
  <c r="G542" i="3" s="1"/>
  <c r="BQ542" i="3"/>
  <c r="BL542" i="3" s="1"/>
  <c r="BQ568" i="3"/>
  <c r="BQ566" i="3"/>
  <c r="BQ564" i="3"/>
  <c r="BL564" i="3" s="1"/>
  <c r="BQ562" i="3"/>
  <c r="BL562" i="3" s="1"/>
  <c r="BQ560" i="3"/>
  <c r="BQ558" i="3"/>
  <c r="BL558" i="3" s="1"/>
  <c r="AZ558" i="3" s="1"/>
  <c r="BQ556" i="3"/>
  <c r="BL556" i="3" s="1"/>
  <c r="BQ554" i="3"/>
  <c r="BQ552" i="3"/>
  <c r="BQ550" i="3"/>
  <c r="BL550" i="3" s="1"/>
  <c r="AZ550" i="3" s="1"/>
  <c r="BQ548" i="3"/>
  <c r="BL548" i="3" s="1"/>
  <c r="BQ546" i="3"/>
  <c r="BL546" i="3" s="1"/>
  <c r="AZ546" i="3" s="1"/>
  <c r="BQ544" i="3"/>
  <c r="BL544" i="3" s="1"/>
  <c r="G544" i="3"/>
  <c r="G534" i="3"/>
  <c r="G530" i="3"/>
  <c r="G526" i="3"/>
  <c r="G522" i="3"/>
  <c r="BQ540" i="3"/>
  <c r="BQ538" i="3"/>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L486" i="3" s="1"/>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F25" i="21"/>
  <c r="S25" i="21" s="1"/>
  <c r="J25" i="21"/>
  <c r="E125" i="33"/>
  <c r="F125" i="33" s="1"/>
  <c r="G125" i="33" s="1"/>
  <c r="H43" i="33"/>
  <c r="U43" i="33" s="1"/>
  <c r="H17" i="37"/>
  <c r="U17" i="37" s="1"/>
  <c r="F23" i="37"/>
  <c r="S23" i="37" s="1"/>
  <c r="F79" i="37"/>
  <c r="AB27" i="37"/>
  <c r="F39" i="33"/>
  <c r="AA39" i="33" s="1"/>
  <c r="E123" i="33"/>
  <c r="F42" i="33"/>
  <c r="H28" i="34"/>
  <c r="F22" i="36"/>
  <c r="S22" i="36" s="1"/>
  <c r="H35" i="34"/>
  <c r="F41" i="34"/>
  <c r="S41" i="34" s="1"/>
  <c r="H41" i="34"/>
  <c r="U41" i="34" s="1"/>
  <c r="J41" i="34"/>
  <c r="F10" i="35"/>
  <c r="F24" i="35"/>
  <c r="AA24" i="35" s="1"/>
  <c r="H24" i="35"/>
  <c r="AB24" i="35" s="1"/>
  <c r="H23" i="37"/>
  <c r="AB23" i="37" s="1"/>
  <c r="J32" i="37"/>
  <c r="F36" i="37"/>
  <c r="S36" i="37" s="1"/>
  <c r="F37" i="37"/>
  <c r="U23" i="37"/>
  <c r="F123" i="33"/>
  <c r="G123" i="33" s="1"/>
  <c r="H123" i="33" s="1"/>
  <c r="I123" i="33" s="1"/>
  <c r="J123" i="33" s="1"/>
  <c r="K123" i="33" s="1"/>
  <c r="L123" i="33" s="1"/>
  <c r="M123" i="33" s="1"/>
  <c r="H42" i="33"/>
  <c r="U42" i="33" s="1"/>
  <c r="J43" i="33"/>
  <c r="AC43" i="33" s="1"/>
  <c r="G79" i="37"/>
  <c r="J23" i="37"/>
  <c r="W23" i="37"/>
  <c r="F17" i="37"/>
  <c r="AA17" i="37"/>
  <c r="D3" i="21"/>
  <c r="AC33" i="36"/>
  <c r="W23" i="35"/>
  <c r="AC23" i="37"/>
  <c r="U39" i="37"/>
  <c r="AC8" i="37"/>
  <c r="AC36" i="34"/>
  <c r="AB8" i="34"/>
  <c r="AA13" i="33"/>
  <c r="AC45" i="33"/>
  <c r="S39" i="33"/>
  <c r="F43" i="33"/>
  <c r="AA23"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c r="I94" i="37" s="1"/>
  <c r="J94" i="37" s="1"/>
  <c r="K94" i="37" s="1"/>
  <c r="L94" i="37" s="1"/>
  <c r="M94" i="37" s="1"/>
  <c r="H31" i="37"/>
  <c r="AB31" i="37" s="1"/>
  <c r="J15" i="37"/>
  <c r="AB10" i="37"/>
  <c r="J11" i="37"/>
  <c r="U31" i="37"/>
  <c r="E90" i="40"/>
  <c r="F21" i="40"/>
  <c r="W36" i="40"/>
  <c r="U40" i="39"/>
  <c r="F90" i="40"/>
  <c r="G90" i="40" s="1"/>
  <c r="J21" i="40"/>
  <c r="AC21" i="40" s="1"/>
  <c r="S27" i="31"/>
  <c r="G483" i="3"/>
  <c r="G507" i="3"/>
  <c r="BA15" i="3"/>
  <c r="BL17" i="3"/>
  <c r="BL15" i="3"/>
  <c r="BA14" i="3"/>
  <c r="AZ14" i="3" s="1"/>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AZ329" i="3" s="1"/>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G373" i="3"/>
  <c r="BL374" i="3"/>
  <c r="BA376" i="3"/>
  <c r="AZ376" i="3"/>
  <c r="BA377" i="3"/>
  <c r="AZ377" i="3"/>
  <c r="BL377" i="3"/>
  <c r="G378" i="3"/>
  <c r="BA379" i="3"/>
  <c r="BA114" i="3"/>
  <c r="AZ114" i="3" s="1"/>
  <c r="BL115" i="3"/>
  <c r="AZ115" i="3" s="1"/>
  <c r="G116" i="3"/>
  <c r="BA118" i="3"/>
  <c r="BL119" i="3"/>
  <c r="AZ119" i="3"/>
  <c r="G120" i="3"/>
  <c r="BA122" i="3"/>
  <c r="BL123" i="3"/>
  <c r="AZ123" i="3" s="1"/>
  <c r="G124" i="3"/>
  <c r="BA126" i="3"/>
  <c r="AZ126" i="3"/>
  <c r="BL127" i="3"/>
  <c r="G128" i="3"/>
  <c r="BA130" i="3"/>
  <c r="AZ130" i="3"/>
  <c r="BL131" i="3"/>
  <c r="AZ131" i="3"/>
  <c r="G132" i="3"/>
  <c r="BA134" i="3"/>
  <c r="BL135" i="3"/>
  <c r="AZ135" i="3" s="1"/>
  <c r="G136" i="3"/>
  <c r="BA138" i="3"/>
  <c r="BL139" i="3"/>
  <c r="AZ139" i="3"/>
  <c r="G140" i="3"/>
  <c r="BA142" i="3"/>
  <c r="AZ142" i="3" s="1"/>
  <c r="BL143" i="3"/>
  <c r="AZ143" i="3" s="1"/>
  <c r="G144" i="3"/>
  <c r="BA146" i="3"/>
  <c r="AZ146" i="3" s="1"/>
  <c r="BL147" i="3"/>
  <c r="AZ147" i="3" s="1"/>
  <c r="G148" i="3"/>
  <c r="BA150" i="3"/>
  <c r="BL151" i="3"/>
  <c r="AZ151" i="3" s="1"/>
  <c r="BA153" i="3"/>
  <c r="BL154" i="3"/>
  <c r="AZ154" i="3" s="1"/>
  <c r="G155" i="3"/>
  <c r="BA157" i="3"/>
  <c r="AZ157" i="3" s="1"/>
  <c r="BL158" i="3"/>
  <c r="G159" i="3"/>
  <c r="BA161" i="3"/>
  <c r="AZ161" i="3" s="1"/>
  <c r="BL162" i="3"/>
  <c r="AZ162" i="3" s="1"/>
  <c r="G163" i="3"/>
  <c r="BA165" i="3"/>
  <c r="BL166" i="3"/>
  <c r="G167" i="3"/>
  <c r="BA169" i="3"/>
  <c r="BL170" i="3"/>
  <c r="AZ170" i="3" s="1"/>
  <c r="G171" i="3"/>
  <c r="BA173" i="3"/>
  <c r="AZ173" i="3" s="1"/>
  <c r="BL174" i="3"/>
  <c r="G175" i="3"/>
  <c r="BA178" i="3"/>
  <c r="AZ178" i="3" s="1"/>
  <c r="BL179" i="3"/>
  <c r="AZ179" i="3" s="1"/>
  <c r="G180" i="3"/>
  <c r="AZ35" i="3"/>
  <c r="AZ43" i="3"/>
  <c r="BL181" i="3"/>
  <c r="AZ181" i="3" s="1"/>
  <c r="G182" i="3"/>
  <c r="BA184" i="3"/>
  <c r="BL185" i="3"/>
  <c r="G186" i="3"/>
  <c r="BA188" i="3"/>
  <c r="BL189" i="3"/>
  <c r="AZ189" i="3" s="1"/>
  <c r="G190" i="3"/>
  <c r="BA192" i="3"/>
  <c r="BL193" i="3"/>
  <c r="AZ193" i="3" s="1"/>
  <c r="G194" i="3"/>
  <c r="BA196" i="3"/>
  <c r="AZ196" i="3" s="1"/>
  <c r="BL197" i="3"/>
  <c r="AZ197" i="3" s="1"/>
  <c r="G198" i="3"/>
  <c r="BA200" i="3"/>
  <c r="AZ200" i="3" s="1"/>
  <c r="BL201" i="3"/>
  <c r="AZ201" i="3" s="1"/>
  <c r="AZ70" i="3"/>
  <c r="AZ78" i="3"/>
  <c r="AZ185" i="3"/>
  <c r="AZ90"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G360" i="3"/>
  <c r="G361" i="3"/>
  <c r="BL362" i="3"/>
  <c r="BA364" i="3"/>
  <c r="AZ364" i="3"/>
  <c r="BA365" i="3"/>
  <c r="AZ365" i="3"/>
  <c r="BL365" i="3"/>
  <c r="G366" i="3"/>
  <c r="G369" i="3"/>
  <c r="BL370" i="3"/>
  <c r="BA372" i="3"/>
  <c r="BA373" i="3"/>
  <c r="BL373" i="3"/>
  <c r="AZ373" i="3"/>
  <c r="G374" i="3"/>
  <c r="G377" i="3"/>
  <c r="BL378" i="3"/>
  <c r="BA380" i="3"/>
  <c r="BA381" i="3"/>
  <c r="BL381" i="3"/>
  <c r="G382" i="3"/>
  <c r="G385" i="3"/>
  <c r="AZ158" i="3"/>
  <c r="AZ166" i="3"/>
  <c r="AZ174" i="3"/>
  <c r="AZ187"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AZ345" i="3" s="1"/>
  <c r="G346" i="3"/>
  <c r="BA348" i="3"/>
  <c r="AZ348" i="3" s="1"/>
  <c r="BL349" i="3"/>
  <c r="G350" i="3"/>
  <c r="BA352" i="3"/>
  <c r="AZ352" i="3" s="1"/>
  <c r="BL353" i="3"/>
  <c r="G354" i="3"/>
  <c r="BA356" i="3"/>
  <c r="AZ356" i="3" s="1"/>
  <c r="BL357" i="3"/>
  <c r="AZ357" i="3" s="1"/>
  <c r="G358" i="3"/>
  <c r="BA362" i="3"/>
  <c r="AZ362" i="3" s="1"/>
  <c r="BL363" i="3"/>
  <c r="G364" i="3"/>
  <c r="BA366" i="3"/>
  <c r="BL367" i="3"/>
  <c r="AZ367" i="3" s="1"/>
  <c r="AZ205" i="3"/>
  <c r="AZ209" i="3"/>
  <c r="AZ221" i="3"/>
  <c r="AZ225" i="3"/>
  <c r="AZ237" i="3"/>
  <c r="AZ241" i="3"/>
  <c r="AZ321" i="3"/>
  <c r="AZ353" i="3"/>
  <c r="G368" i="3"/>
  <c r="BA370" i="3"/>
  <c r="BL371" i="3"/>
  <c r="G372" i="3"/>
  <c r="BA374" i="3"/>
  <c r="BL375" i="3"/>
  <c r="G376" i="3"/>
  <c r="BA378" i="3"/>
  <c r="AZ378" i="3"/>
  <c r="BL379" i="3"/>
  <c r="AZ379" i="3"/>
  <c r="G380" i="3"/>
  <c r="BA382" i="3"/>
  <c r="AZ382" i="3" s="1"/>
  <c r="BL383" i="3"/>
  <c r="G384" i="3"/>
  <c r="AZ253" i="3"/>
  <c r="AZ257" i="3"/>
  <c r="AZ383" i="3"/>
  <c r="AZ274" i="3"/>
  <c r="AZ278" i="3"/>
  <c r="AZ290" i="3"/>
  <c r="AZ295" i="3"/>
  <c r="AZ319" i="3"/>
  <c r="AZ335" i="3"/>
  <c r="AZ347" i="3"/>
  <c r="AZ351" i="3"/>
  <c r="AZ361" i="3"/>
  <c r="AZ369" i="3"/>
  <c r="AZ394" i="3"/>
  <c r="AZ410" i="3"/>
  <c r="AZ422" i="3"/>
  <c r="AZ430" i="3"/>
  <c r="AZ442" i="3"/>
  <c r="AZ446" i="3"/>
  <c r="AZ455" i="3"/>
  <c r="AZ467" i="3"/>
  <c r="AZ471" i="3"/>
  <c r="H7" i="48"/>
  <c r="F33"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W25" i="35"/>
  <c r="AZ354" i="3"/>
  <c r="H13" i="39"/>
  <c r="F13" i="39"/>
  <c r="AA13" i="39" s="1"/>
  <c r="J13" i="39"/>
  <c r="AC13" i="39" s="1"/>
  <c r="AA36" i="35"/>
  <c r="H11" i="37"/>
  <c r="AB11" i="37" s="1"/>
  <c r="W37" i="37"/>
  <c r="AA36" i="37"/>
  <c r="U32" i="33"/>
  <c r="AB17" i="37"/>
  <c r="AC29" i="33"/>
  <c r="AA45" i="33"/>
  <c r="AC10" i="36"/>
  <c r="AC14" i="37"/>
  <c r="W44" i="33"/>
  <c r="W30" i="33"/>
  <c r="AC29" i="37"/>
  <c r="W32" i="36"/>
  <c r="AC32" i="36"/>
  <c r="U28" i="33"/>
  <c r="J33" i="34"/>
  <c r="AC33" i="34" s="1"/>
  <c r="AB36" i="34"/>
  <c r="J40" i="34"/>
  <c r="W40" i="34"/>
  <c r="F16" i="35"/>
  <c r="AA16" i="35"/>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AB26" i="21"/>
  <c r="U26" i="21"/>
  <c r="J32" i="21"/>
  <c r="AC32" i="21" s="1"/>
  <c r="G13" i="3"/>
  <c r="AC5" i="3"/>
  <c r="F17" i="21"/>
  <c r="S17" i="21" s="1"/>
  <c r="H17" i="21"/>
  <c r="AB17" i="21" s="1"/>
  <c r="J17" i="21"/>
  <c r="AC17" i="21" s="1"/>
  <c r="F40" i="21"/>
  <c r="S40" i="21" s="1"/>
  <c r="H40" i="21"/>
  <c r="AB40" i="21" s="1"/>
  <c r="F119" i="21"/>
  <c r="G119" i="21" s="1"/>
  <c r="H119" i="21" s="1"/>
  <c r="I119" i="21" s="1"/>
  <c r="J119" i="21" s="1"/>
  <c r="K119" i="21" s="1"/>
  <c r="L119" i="21" s="1"/>
  <c r="M119" i="21" s="1"/>
  <c r="AA8" i="33"/>
  <c r="S8" i="33"/>
  <c r="AC8" i="33"/>
  <c r="H66" i="33"/>
  <c r="F10" i="33"/>
  <c r="F11" i="33"/>
  <c r="J15" i="33"/>
  <c r="H19" i="33"/>
  <c r="F32" i="33"/>
  <c r="AA32" i="33" s="1"/>
  <c r="J32" i="33"/>
  <c r="AC32" i="33" s="1"/>
  <c r="F35" i="33"/>
  <c r="AB39" i="34"/>
  <c r="F11" i="34"/>
  <c r="S11" i="34"/>
  <c r="F80" i="34"/>
  <c r="G80" i="34" s="1"/>
  <c r="H17" i="34"/>
  <c r="AB17" i="34" s="1"/>
  <c r="AC27" i="34"/>
  <c r="W27" i="34"/>
  <c r="AB28" i="35"/>
  <c r="U28" i="35"/>
  <c r="J13" i="33"/>
  <c r="H13" i="33"/>
  <c r="U13" i="33" s="1"/>
  <c r="H29" i="33"/>
  <c r="AB29" i="33" s="1"/>
  <c r="F29" i="33"/>
  <c r="AA29" i="33" s="1"/>
  <c r="J12" i="34"/>
  <c r="H12" i="34"/>
  <c r="F12" i="34"/>
  <c r="S12" i="34" s="1"/>
  <c r="J14" i="34"/>
  <c r="W14" i="34" s="1"/>
  <c r="F14" i="34"/>
  <c r="S14" i="34" s="1"/>
  <c r="H14" i="34"/>
  <c r="H30" i="34"/>
  <c r="F30" i="34"/>
  <c r="S30" i="34" s="1"/>
  <c r="J30" i="34"/>
  <c r="H32" i="34"/>
  <c r="AB32" i="34" s="1"/>
  <c r="F32" i="34"/>
  <c r="AA32" i="34" s="1"/>
  <c r="J32" i="34"/>
  <c r="H46" i="34"/>
  <c r="AB46" i="34" s="1"/>
  <c r="F46" i="34"/>
  <c r="J46" i="34"/>
  <c r="H11" i="35"/>
  <c r="U11" i="35" s="1"/>
  <c r="F96" i="37"/>
  <c r="H32" i="37"/>
  <c r="F19" i="39"/>
  <c r="H19" i="39"/>
  <c r="U19" i="39" s="1"/>
  <c r="J19" i="39"/>
  <c r="W19" i="39" s="1"/>
  <c r="J43" i="39"/>
  <c r="AC43" i="39" s="1"/>
  <c r="AC27" i="37"/>
  <c r="U25" i="35"/>
  <c r="S45" i="34"/>
  <c r="AC40" i="37"/>
  <c r="W40" i="37"/>
  <c r="W27" i="33"/>
  <c r="AA44" i="34"/>
  <c r="AB29" i="35"/>
  <c r="U29" i="35"/>
  <c r="AC19" i="33"/>
  <c r="W19" i="33"/>
  <c r="U43" i="34"/>
  <c r="AB43" i="34"/>
  <c r="AC34" i="37"/>
  <c r="S35" i="37"/>
  <c r="AB10" i="35"/>
  <c r="BA571" i="3"/>
  <c r="BL570" i="3"/>
  <c r="BE5"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H11" i="36"/>
  <c r="F11" i="36"/>
  <c r="W16" i="36"/>
  <c r="AC16" i="36"/>
  <c r="E78" i="36"/>
  <c r="F78" i="36" s="1"/>
  <c r="G78" i="36" s="1"/>
  <c r="H78" i="36" s="1"/>
  <c r="I78" i="36" s="1"/>
  <c r="J78" i="36" s="1"/>
  <c r="K78" i="36" s="1"/>
  <c r="L78" i="36" s="1"/>
  <c r="M78" i="36" s="1"/>
  <c r="F26" i="36"/>
  <c r="S26" i="36" s="1"/>
  <c r="AB34" i="36"/>
  <c r="H33" i="36"/>
  <c r="U33" i="36"/>
  <c r="F33" i="36"/>
  <c r="AA33" i="36"/>
  <c r="H27" i="36"/>
  <c r="AB27" i="36"/>
  <c r="AA31" i="36"/>
  <c r="AC26" i="37"/>
  <c r="W26" i="37"/>
  <c r="AB29" i="37"/>
  <c r="AA30" i="37"/>
  <c r="S30" i="37"/>
  <c r="AC30" i="37"/>
  <c r="AC31" i="37"/>
  <c r="W31" i="37"/>
  <c r="AB14" i="37"/>
  <c r="F17" i="39"/>
  <c r="AA17" i="39" s="1"/>
  <c r="H17" i="39"/>
  <c r="J17" i="39"/>
  <c r="W17" i="39" s="1"/>
  <c r="F21" i="39"/>
  <c r="S21" i="39" s="1"/>
  <c r="H21" i="39"/>
  <c r="AB21" i="39" s="1"/>
  <c r="J21" i="39"/>
  <c r="W21" i="39" s="1"/>
  <c r="F44" i="39"/>
  <c r="S44" i="39" s="1"/>
  <c r="H44" i="39"/>
  <c r="U44" i="39" s="1"/>
  <c r="J44" i="39"/>
  <c r="W44" i="39" s="1"/>
  <c r="F128" i="39"/>
  <c r="G128" i="39" s="1"/>
  <c r="H128" i="39" s="1"/>
  <c r="I128" i="39" s="1"/>
  <c r="J128" i="39" s="1"/>
  <c r="K128" i="39" s="1"/>
  <c r="L128" i="39" s="1"/>
  <c r="M128" i="39" s="1"/>
  <c r="F46" i="39"/>
  <c r="S46" i="39" s="1"/>
  <c r="H46" i="39"/>
  <c r="U46" i="39" s="1"/>
  <c r="J46" i="39"/>
  <c r="F34" i="39"/>
  <c r="AA34" i="39" s="1"/>
  <c r="H34" i="39"/>
  <c r="AB34" i="39" s="1"/>
  <c r="J34" i="39"/>
  <c r="AC34" i="39" s="1"/>
  <c r="F39" i="39"/>
  <c r="H39" i="39"/>
  <c r="AB39" i="39" s="1"/>
  <c r="J39" i="39"/>
  <c r="W39" i="39" s="1"/>
  <c r="J29" i="35"/>
  <c r="AC29" i="35" s="1"/>
  <c r="F29" i="35"/>
  <c r="S29" i="35" s="1"/>
  <c r="AC30" i="36"/>
  <c r="H37" i="39"/>
  <c r="U37" i="39" s="1"/>
  <c r="BL568" i="3"/>
  <c r="BA568" i="3"/>
  <c r="BL567" i="3"/>
  <c r="BL554" i="3"/>
  <c r="AZ554" i="3"/>
  <c r="BA553" i="3"/>
  <c r="AZ553" i="3"/>
  <c r="BL549" i="3"/>
  <c r="BA549" i="3"/>
  <c r="AZ549" i="3" s="1"/>
  <c r="BA548" i="3"/>
  <c r="BA547" i="3"/>
  <c r="BA539" i="3"/>
  <c r="BA538" i="3"/>
  <c r="BL537" i="3"/>
  <c r="BL536" i="3"/>
  <c r="BA535" i="3"/>
  <c r="AZ535" i="3" s="1"/>
  <c r="BA534" i="3"/>
  <c r="AZ534" i="3" s="1"/>
  <c r="BA533" i="3"/>
  <c r="AZ533" i="3" s="1"/>
  <c r="BL531" i="3"/>
  <c r="AZ531" i="3" s="1"/>
  <c r="BL530" i="3"/>
  <c r="BA530" i="3"/>
  <c r="BL529" i="3"/>
  <c r="BA529" i="3"/>
  <c r="BL528" i="3"/>
  <c r="AZ528" i="3" s="1"/>
  <c r="BA527" i="3"/>
  <c r="AZ527" i="3" s="1"/>
  <c r="BA526" i="3"/>
  <c r="BA525" i="3"/>
  <c r="BL523" i="3"/>
  <c r="BA523" i="3"/>
  <c r="AZ523" i="3" s="1"/>
  <c r="BL522" i="3"/>
  <c r="BA522" i="3"/>
  <c r="BL521" i="3"/>
  <c r="AZ521" i="3" s="1"/>
  <c r="BA519" i="3"/>
  <c r="AZ519" i="3" s="1"/>
  <c r="BL518" i="3"/>
  <c r="BA517" i="3"/>
  <c r="BL515" i="3"/>
  <c r="BA514" i="3"/>
  <c r="AZ514" i="3" s="1"/>
  <c r="BL513" i="3"/>
  <c r="BA511" i="3"/>
  <c r="AZ511" i="3" s="1"/>
  <c r="BA510" i="3"/>
  <c r="AZ510" i="3" s="1"/>
  <c r="BL509" i="3"/>
  <c r="AZ509" i="3" s="1"/>
  <c r="BA507" i="3"/>
  <c r="BL506" i="3"/>
  <c r="BL504" i="3"/>
  <c r="BA504" i="3"/>
  <c r="BA503" i="3"/>
  <c r="AZ503" i="3"/>
  <c r="BA499" i="3"/>
  <c r="BL498" i="3"/>
  <c r="BL497" i="3"/>
  <c r="BL496" i="3"/>
  <c r="BA496" i="3"/>
  <c r="AZ496" i="3"/>
  <c r="BA495" i="3"/>
  <c r="AZ495" i="3"/>
  <c r="BA494" i="3"/>
  <c r="G494" i="3"/>
  <c r="BA490" i="3"/>
  <c r="BL489" i="3"/>
  <c r="BL487" i="3"/>
  <c r="AZ487" i="3" s="1"/>
  <c r="BA486" i="3"/>
  <c r="BJ5" i="3"/>
  <c r="BL19" i="3"/>
  <c r="AZ19" i="3" s="1"/>
  <c r="BA18" i="3"/>
  <c r="F36" i="44"/>
  <c r="F114" i="34"/>
  <c r="G114" i="34" s="1"/>
  <c r="H114" i="34" s="1"/>
  <c r="I114" i="34" s="1"/>
  <c r="J114" i="34" s="1"/>
  <c r="K114" i="34" s="1"/>
  <c r="L114" i="34" s="1"/>
  <c r="M114" i="34" s="1"/>
  <c r="H38" i="34"/>
  <c r="H30" i="40"/>
  <c r="G100" i="40"/>
  <c r="H100" i="40" s="1"/>
  <c r="J30" i="40"/>
  <c r="AC30" i="40"/>
  <c r="F38" i="40"/>
  <c r="AA38" i="40"/>
  <c r="AA36" i="34"/>
  <c r="AC12" i="21"/>
  <c r="U8" i="21"/>
  <c r="AB8" i="33"/>
  <c r="U8" i="33"/>
  <c r="E106" i="33"/>
  <c r="H34" i="33"/>
  <c r="U34" i="33" s="1"/>
  <c r="F34" i="33"/>
  <c r="S34" i="33" s="1"/>
  <c r="E121" i="33"/>
  <c r="F121" i="33" s="1"/>
  <c r="F41" i="33"/>
  <c r="S41" i="33" s="1"/>
  <c r="AC34" i="34"/>
  <c r="W34" i="34"/>
  <c r="AA39" i="34"/>
  <c r="S39" i="34"/>
  <c r="S43" i="34"/>
  <c r="E78" i="34"/>
  <c r="F15" i="34"/>
  <c r="AC28" i="35"/>
  <c r="W28" i="35"/>
  <c r="J20" i="35"/>
  <c r="E72" i="35"/>
  <c r="F72" i="35" s="1"/>
  <c r="G72" i="35" s="1"/>
  <c r="H22" i="35"/>
  <c r="AB22" i="35"/>
  <c r="H23" i="35"/>
  <c r="F23" i="35"/>
  <c r="AA23" i="35" s="1"/>
  <c r="U36" i="35"/>
  <c r="U31" i="36"/>
  <c r="S8" i="37"/>
  <c r="AA8" i="37"/>
  <c r="F14" i="39"/>
  <c r="AA14" i="39" s="1"/>
  <c r="H14" i="39"/>
  <c r="AB14" i="39" s="1"/>
  <c r="J14" i="39"/>
  <c r="F16" i="39"/>
  <c r="AA16" i="39" s="1"/>
  <c r="H16" i="39"/>
  <c r="U16" i="39" s="1"/>
  <c r="J16" i="39"/>
  <c r="AC16" i="39" s="1"/>
  <c r="E97" i="39"/>
  <c r="F23" i="39" s="1"/>
  <c r="AA23" i="39" s="1"/>
  <c r="F27" i="39"/>
  <c r="H27" i="39"/>
  <c r="J27" i="39"/>
  <c r="F15" i="40"/>
  <c r="J15" i="40"/>
  <c r="AC15" i="40" s="1"/>
  <c r="H15" i="40"/>
  <c r="AB15" i="40" s="1"/>
  <c r="E92" i="40"/>
  <c r="F92" i="40" s="1"/>
  <c r="H23" i="40"/>
  <c r="U23" i="40" s="1"/>
  <c r="AB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S47" i="39" s="1"/>
  <c r="H47" i="39"/>
  <c r="AB47" i="39" s="1"/>
  <c r="J47" i="39"/>
  <c r="F41" i="39"/>
  <c r="AA41" i="39" s="1"/>
  <c r="H41" i="39"/>
  <c r="AB41" i="39" s="1"/>
  <c r="J41" i="39"/>
  <c r="W41" i="39" s="1"/>
  <c r="E94" i="40"/>
  <c r="J25" i="40"/>
  <c r="J32" i="40"/>
  <c r="AC32" i="40" s="1"/>
  <c r="H32" i="40"/>
  <c r="H33" i="40"/>
  <c r="F33" i="40"/>
  <c r="AA33" i="40" s="1"/>
  <c r="J33" i="40"/>
  <c r="AC33" i="40" s="1"/>
  <c r="H35" i="40"/>
  <c r="AB35" i="40" s="1"/>
  <c r="F35" i="40"/>
  <c r="AA35" i="40" s="1"/>
  <c r="J35" i="40"/>
  <c r="J38" i="39"/>
  <c r="W38" i="39" s="1"/>
  <c r="H38" i="39"/>
  <c r="U38" i="39" s="1"/>
  <c r="J16" i="40"/>
  <c r="J14" i="40"/>
  <c r="W14" i="40" s="1"/>
  <c r="H42" i="40"/>
  <c r="AB42" i="40" s="1"/>
  <c r="H40" i="40"/>
  <c r="U40" i="40"/>
  <c r="H34" i="40"/>
  <c r="U34" i="40"/>
  <c r="AZ407" i="3"/>
  <c r="AZ423" i="3"/>
  <c r="AZ431" i="3"/>
  <c r="AZ454" i="3"/>
  <c r="B41" i="1"/>
  <c r="F71" i="9" s="1"/>
  <c r="J42" i="40"/>
  <c r="AC42" i="40"/>
  <c r="J40" i="40"/>
  <c r="AC40" i="40"/>
  <c r="J34" i="40"/>
  <c r="AC34" i="40"/>
  <c r="H16" i="40"/>
  <c r="AB16" i="40"/>
  <c r="H14" i="40"/>
  <c r="U14" i="40"/>
  <c r="F32" i="40"/>
  <c r="AA32" i="40"/>
  <c r="AZ436" i="3"/>
  <c r="AZ441" i="3"/>
  <c r="M1" i="46"/>
  <c r="M6" i="46"/>
  <c r="M10" i="46"/>
  <c r="N2" i="46"/>
  <c r="N5" i="46"/>
  <c r="F58" i="46"/>
  <c r="H61" i="46" s="1"/>
  <c r="N7" i="46"/>
  <c r="AZ456" i="3"/>
  <c r="AZ458" i="3"/>
  <c r="AZ469" i="3"/>
  <c r="AZ474" i="3"/>
  <c r="AZ207" i="3"/>
  <c r="AZ212" i="3"/>
  <c r="AZ223" i="3"/>
  <c r="AZ228" i="3"/>
  <c r="AZ239" i="3"/>
  <c r="AZ244" i="3"/>
  <c r="AZ255" i="3"/>
  <c r="AZ260" i="3"/>
  <c r="AZ273" i="3"/>
  <c r="AZ276" i="3"/>
  <c r="AZ289" i="3"/>
  <c r="AZ292" i="3"/>
  <c r="AZ124" i="3"/>
  <c r="AZ140" i="3"/>
  <c r="M7" i="46"/>
  <c r="M11" i="46"/>
  <c r="N3" i="46"/>
  <c r="N6" i="46"/>
  <c r="N10" i="46"/>
  <c r="F69" i="46"/>
  <c r="H71" i="46" s="1"/>
  <c r="AZ167" i="3"/>
  <c r="AZ177" i="3"/>
  <c r="AZ32" i="3"/>
  <c r="AZ40" i="3"/>
  <c r="AZ56" i="3"/>
  <c r="AZ63" i="3"/>
  <c r="AZ79" i="3"/>
  <c r="AZ99" i="3"/>
  <c r="J13" i="40"/>
  <c r="W13" i="40" s="1"/>
  <c r="AB14" i="40"/>
  <c r="W40" i="40"/>
  <c r="AC14" i="40"/>
  <c r="S33" i="40"/>
  <c r="AB37" i="34"/>
  <c r="J23" i="40"/>
  <c r="AC23" i="40" s="1"/>
  <c r="G92" i="40"/>
  <c r="F23" i="40"/>
  <c r="S23" i="40"/>
  <c r="W15" i="40"/>
  <c r="AB16" i="39"/>
  <c r="U23" i="35"/>
  <c r="AB23" i="35"/>
  <c r="H20" i="35"/>
  <c r="F20" i="35"/>
  <c r="S20" i="35" s="1"/>
  <c r="H15" i="34"/>
  <c r="F78" i="34"/>
  <c r="G78" i="34" s="1"/>
  <c r="J15" i="34"/>
  <c r="AC15" i="34" s="1"/>
  <c r="H41" i="33"/>
  <c r="U41" i="33" s="1"/>
  <c r="G121" i="33"/>
  <c r="H121" i="33" s="1"/>
  <c r="I121" i="33" s="1"/>
  <c r="J121" i="33" s="1"/>
  <c r="K121" i="33" s="1"/>
  <c r="L121" i="33" s="1"/>
  <c r="M121" i="33" s="1"/>
  <c r="F30" i="40"/>
  <c r="AA30" i="40"/>
  <c r="I100" i="40"/>
  <c r="J100" i="40" s="1"/>
  <c r="K100" i="40" s="1"/>
  <c r="L100" i="40" s="1"/>
  <c r="M100" i="40" s="1"/>
  <c r="AZ486" i="3"/>
  <c r="AZ504" i="3"/>
  <c r="AZ529" i="3"/>
  <c r="AZ548" i="3"/>
  <c r="AB37" i="39"/>
  <c r="AA29" i="35"/>
  <c r="U39" i="39"/>
  <c r="U21" i="39"/>
  <c r="AB33" i="36"/>
  <c r="AA14" i="35"/>
  <c r="S14" i="35"/>
  <c r="G99" i="37"/>
  <c r="H99" i="37" s="1"/>
  <c r="F33" i="37"/>
  <c r="AB19" i="39"/>
  <c r="U46" i="34"/>
  <c r="AA14" i="34"/>
  <c r="U29" i="33"/>
  <c r="U17" i="34"/>
  <c r="AA11" i="34"/>
  <c r="W32" i="33"/>
  <c r="H15" i="33"/>
  <c r="U15" i="33"/>
  <c r="AA40" i="21"/>
  <c r="U16" i="40"/>
  <c r="W34" i="40"/>
  <c r="AB34" i="40"/>
  <c r="U42" i="40"/>
  <c r="W32" i="40"/>
  <c r="H25" i="40"/>
  <c r="AB25" i="40"/>
  <c r="F94" i="40"/>
  <c r="G94" i="40"/>
  <c r="U47" i="39"/>
  <c r="J37" i="34"/>
  <c r="AC37" i="34" s="1"/>
  <c r="J36" i="33"/>
  <c r="W36" i="33" s="1"/>
  <c r="AB23" i="40"/>
  <c r="H23" i="39"/>
  <c r="J23" i="39"/>
  <c r="F97" i="39"/>
  <c r="G97" i="39" s="1"/>
  <c r="S16" i="39"/>
  <c r="S15" i="34"/>
  <c r="AA15" i="34"/>
  <c r="AA41" i="33"/>
  <c r="AA34" i="33"/>
  <c r="F106" i="33"/>
  <c r="G106" i="33"/>
  <c r="H106" i="33" s="1"/>
  <c r="I106" i="33" s="1"/>
  <c r="J106" i="33" s="1"/>
  <c r="K106" i="33" s="1"/>
  <c r="L106" i="33" s="1"/>
  <c r="M106" i="33" s="1"/>
  <c r="J34" i="33"/>
  <c r="AC34" i="33"/>
  <c r="W29" i="35"/>
  <c r="AC39" i="39"/>
  <c r="AA39" i="39"/>
  <c r="S39" i="39"/>
  <c r="AB46" i="39"/>
  <c r="F80" i="35"/>
  <c r="G80" i="35" s="1"/>
  <c r="H80" i="35" s="1"/>
  <c r="I80" i="35" s="1"/>
  <c r="J80" i="35" s="1"/>
  <c r="K80" i="35" s="1"/>
  <c r="L80" i="35" s="1"/>
  <c r="M80" i="35" s="1"/>
  <c r="W14" i="35"/>
  <c r="F90" i="34"/>
  <c r="G90" i="34"/>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AA17" i="34" s="1"/>
  <c r="J17" i="34"/>
  <c r="H11" i="34"/>
  <c r="J35" i="33"/>
  <c r="S32" i="33"/>
  <c r="H11" i="33"/>
  <c r="U11" i="33" s="1"/>
  <c r="H10" i="33"/>
  <c r="I66" i="33"/>
  <c r="J10" i="33"/>
  <c r="AC10" i="33" s="1"/>
  <c r="U11" i="37"/>
  <c r="AC16" i="35"/>
  <c r="AC13" i="40"/>
  <c r="J11" i="34"/>
  <c r="W11" i="34" s="1"/>
  <c r="S17" i="34"/>
  <c r="AC36" i="33"/>
  <c r="F25" i="40"/>
  <c r="J11" i="33"/>
  <c r="W11" i="33" s="1"/>
  <c r="H33" i="37"/>
  <c r="AB33" i="37" s="1"/>
  <c r="W15" i="34"/>
  <c r="U20" i="35"/>
  <c r="AB20" i="35"/>
  <c r="W23" i="40"/>
  <c r="AP11" i="1"/>
  <c r="B11" i="1"/>
  <c r="E11" i="1" s="1"/>
  <c r="K11" i="1"/>
  <c r="M11" i="1" s="1"/>
  <c r="B9" i="1"/>
  <c r="E9" i="1" s="1"/>
  <c r="K9" i="1"/>
  <c r="M9" i="1" s="1"/>
  <c r="B7" i="1"/>
  <c r="E7" i="1" s="1"/>
  <c r="K7" i="1"/>
  <c r="M7" i="1" s="1"/>
  <c r="C20" i="43"/>
  <c r="F6" i="1"/>
  <c r="AP6" i="1" s="1"/>
  <c r="G11" i="1"/>
  <c r="M22" i="44"/>
  <c r="F70" i="9"/>
  <c r="AC25" i="36"/>
  <c r="S8" i="36"/>
  <c r="AA26" i="36"/>
  <c r="AA28" i="36"/>
  <c r="U25" i="36"/>
  <c r="H20" i="36"/>
  <c r="U20" i="36" s="1"/>
  <c r="F68" i="36"/>
  <c r="G68" i="36" s="1"/>
  <c r="J20" i="36"/>
  <c r="AC20" i="36" s="1"/>
  <c r="F20" i="36"/>
  <c r="S20" i="36" s="1"/>
  <c r="F62" i="36"/>
  <c r="G62" i="36" s="1"/>
  <c r="J14" i="36"/>
  <c r="H14" i="36"/>
  <c r="U14" i="36" s="1"/>
  <c r="F14" i="36"/>
  <c r="AA14" i="36" s="1"/>
  <c r="W20" i="36"/>
  <c r="U27" i="36"/>
  <c r="U32" i="36"/>
  <c r="U9" i="36"/>
  <c r="S33" i="36"/>
  <c r="S16" i="36"/>
  <c r="AC33" i="35"/>
  <c r="U22" i="35"/>
  <c r="AA13" i="35"/>
  <c r="S8" i="35"/>
  <c r="AA20" i="35"/>
  <c r="S23" i="35"/>
  <c r="S16" i="35"/>
  <c r="AB14" i="35"/>
  <c r="U9" i="35"/>
  <c r="W13" i="35"/>
  <c r="AC18" i="35"/>
  <c r="W18" i="35"/>
  <c r="U18" i="35"/>
  <c r="AB18" i="35"/>
  <c r="S30" i="35"/>
  <c r="AA35" i="35"/>
  <c r="AB30" i="35"/>
  <c r="S27" i="35"/>
  <c r="S28" i="35"/>
  <c r="F26" i="35"/>
  <c r="AA26" i="35" s="1"/>
  <c r="AB9" i="37"/>
  <c r="W12" i="37"/>
  <c r="AA9" i="37"/>
  <c r="S17" i="37"/>
  <c r="W28" i="37"/>
  <c r="AB37" i="37"/>
  <c r="AA31" i="37"/>
  <c r="S33" i="37"/>
  <c r="AA33" i="37"/>
  <c r="AA32" i="37"/>
  <c r="J33" i="37"/>
  <c r="W33" i="37" s="1"/>
  <c r="I99" i="37"/>
  <c r="J99" i="37" s="1"/>
  <c r="K99" i="37" s="1"/>
  <c r="L99" i="37" s="1"/>
  <c r="M99" i="37" s="1"/>
  <c r="S29" i="37"/>
  <c r="J19" i="37"/>
  <c r="AC19" i="37" s="1"/>
  <c r="G75" i="37"/>
  <c r="F19" i="37"/>
  <c r="AA19" i="37"/>
  <c r="H19" i="37"/>
  <c r="J17" i="37"/>
  <c r="AC17" i="37" s="1"/>
  <c r="S15" i="37"/>
  <c r="AC10" i="37"/>
  <c r="AC21" i="37"/>
  <c r="W21" i="37"/>
  <c r="AC9" i="37"/>
  <c r="U35" i="37"/>
  <c r="U8" i="37"/>
  <c r="AB21" i="37"/>
  <c r="U21" i="37"/>
  <c r="S40" i="37"/>
  <c r="AA11" i="37"/>
  <c r="S10" i="37"/>
  <c r="AC45" i="34"/>
  <c r="AA40" i="34"/>
  <c r="W33" i="34"/>
  <c r="S32" i="34"/>
  <c r="AB33" i="34"/>
  <c r="AA12" i="34"/>
  <c r="AC35" i="34"/>
  <c r="AA30" i="34"/>
  <c r="AA33" i="34"/>
  <c r="U44" i="34"/>
  <c r="U34" i="34"/>
  <c r="AA27" i="34"/>
  <c r="J25" i="34"/>
  <c r="H25" i="34"/>
  <c r="U25" i="34" s="1"/>
  <c r="F25" i="34"/>
  <c r="J23" i="34"/>
  <c r="AC23" i="34" s="1"/>
  <c r="F86" i="34"/>
  <c r="G86" i="34"/>
  <c r="F23" i="34"/>
  <c r="H23" i="34"/>
  <c r="U23" i="34" s="1"/>
  <c r="AC11" i="34"/>
  <c r="W10" i="34"/>
  <c r="U10" i="34"/>
  <c r="W37" i="34"/>
  <c r="AC40" i="34"/>
  <c r="W44" i="34"/>
  <c r="W29" i="34"/>
  <c r="AC21" i="34"/>
  <c r="W21" i="34"/>
  <c r="AB21" i="34"/>
  <c r="U21" i="34"/>
  <c r="U27" i="34"/>
  <c r="U19" i="34"/>
  <c r="AB41" i="34"/>
  <c r="S13" i="34"/>
  <c r="AA41" i="34"/>
  <c r="S9" i="34"/>
  <c r="S10" i="34"/>
  <c r="U39" i="33"/>
  <c r="U37" i="33"/>
  <c r="W34" i="33"/>
  <c r="AB11" i="33"/>
  <c r="AB41" i="33"/>
  <c r="U36" i="33"/>
  <c r="S29" i="33"/>
  <c r="W43" i="33"/>
  <c r="W39" i="33"/>
  <c r="U35" i="33"/>
  <c r="AB34" i="33"/>
  <c r="H25" i="33"/>
  <c r="AB25" i="33" s="1"/>
  <c r="J25" i="33"/>
  <c r="W25" i="33" s="1"/>
  <c r="F87" i="33"/>
  <c r="G87" i="33" s="1"/>
  <c r="H87" i="33" s="1"/>
  <c r="I87" i="33" s="1"/>
  <c r="J87" i="33" s="1"/>
  <c r="K87" i="33" s="1"/>
  <c r="L87" i="33" s="1"/>
  <c r="M87" i="33" s="1"/>
  <c r="F25" i="33"/>
  <c r="F85" i="33"/>
  <c r="G85" i="33" s="1"/>
  <c r="J23" i="33"/>
  <c r="W23" i="33" s="1"/>
  <c r="F23" i="33"/>
  <c r="H23" i="33"/>
  <c r="U23" i="33" s="1"/>
  <c r="F79" i="33"/>
  <c r="G79" i="33" s="1"/>
  <c r="F17" i="33"/>
  <c r="AA17" i="33" s="1"/>
  <c r="H17" i="33"/>
  <c r="J17" i="33"/>
  <c r="W17" i="33" s="1"/>
  <c r="AB15" i="33"/>
  <c r="AC11" i="33"/>
  <c r="S14" i="33"/>
  <c r="W10" i="33"/>
  <c r="AC21" i="33"/>
  <c r="W21" i="33"/>
  <c r="W14" i="33"/>
  <c r="U25" i="33"/>
  <c r="AB21" i="33"/>
  <c r="U21" i="33"/>
  <c r="AA21" i="33"/>
  <c r="S21" i="33"/>
  <c r="AA36" i="33"/>
  <c r="W43" i="21"/>
  <c r="AC26" i="21"/>
  <c r="AB11" i="21"/>
  <c r="W13" i="21"/>
  <c r="AC21" i="21"/>
  <c r="W21" i="21"/>
  <c r="W44" i="21"/>
  <c r="W10" i="21"/>
  <c r="AB21" i="21"/>
  <c r="U21" i="21"/>
  <c r="W33" i="40"/>
  <c r="S35" i="40"/>
  <c r="U15" i="40"/>
  <c r="S14" i="40"/>
  <c r="AB13" i="40"/>
  <c r="S16" i="40"/>
  <c r="W11" i="40"/>
  <c r="U21" i="40"/>
  <c r="U25" i="40"/>
  <c r="W42" i="40"/>
  <c r="U35" i="40"/>
  <c r="F37" i="40"/>
  <c r="J37" i="40"/>
  <c r="H37" i="40"/>
  <c r="U37" i="40" s="1"/>
  <c r="H113" i="40"/>
  <c r="I113" i="40" s="1"/>
  <c r="J113" i="40" s="1"/>
  <c r="K113" i="40" s="1"/>
  <c r="L113" i="40" s="1"/>
  <c r="M113" i="40" s="1"/>
  <c r="F39" i="40"/>
  <c r="AA39" i="40" s="1"/>
  <c r="S38" i="40"/>
  <c r="H39" i="40"/>
  <c r="AB39" i="40" s="1"/>
  <c r="J39" i="40"/>
  <c r="W38" i="40"/>
  <c r="F29" i="40"/>
  <c r="H29" i="40"/>
  <c r="U29" i="40" s="1"/>
  <c r="J29" i="40"/>
  <c r="F98" i="40"/>
  <c r="G98" i="40" s="1"/>
  <c r="H98" i="40" s="1"/>
  <c r="I98" i="40" s="1"/>
  <c r="J98" i="40" s="1"/>
  <c r="K98" i="40" s="1"/>
  <c r="L98" i="40" s="1"/>
  <c r="M98" i="40" s="1"/>
  <c r="S30" i="40"/>
  <c r="AA23" i="40"/>
  <c r="F88" i="40"/>
  <c r="G88" i="40"/>
  <c r="F19" i="40"/>
  <c r="H19" i="40"/>
  <c r="AB19" i="40" s="1"/>
  <c r="J19" i="40"/>
  <c r="W17" i="40"/>
  <c r="AC17" i="40"/>
  <c r="F17" i="40"/>
  <c r="AA17" i="40" s="1"/>
  <c r="H17" i="40"/>
  <c r="W21" i="40"/>
  <c r="AB40" i="40"/>
  <c r="U10" i="40"/>
  <c r="U27" i="40"/>
  <c r="AB27" i="40"/>
  <c r="W13" i="39"/>
  <c r="AB45" i="39"/>
  <c r="AC19" i="39"/>
  <c r="AC21" i="39"/>
  <c r="S14" i="39"/>
  <c r="AB15" i="39"/>
  <c r="AB38" i="39"/>
  <c r="M20" i="15"/>
  <c r="BA16" i="3"/>
  <c r="BA17" i="3"/>
  <c r="AZ17" i="3" s="1"/>
  <c r="K1" i="43"/>
  <c r="G1" i="44"/>
  <c r="I4" i="6"/>
  <c r="G3" i="46"/>
  <c r="Y11" i="46" s="1"/>
  <c r="Y13" i="46" s="1"/>
  <c r="AZ15" i="3"/>
  <c r="BO5" i="3"/>
  <c r="BN5" i="3"/>
  <c r="BR5" i="3"/>
  <c r="BS5" i="3"/>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I100" i="46"/>
  <c r="C24" i="46"/>
  <c r="N100" i="46"/>
  <c r="H100" i="46"/>
  <c r="F108" i="46"/>
  <c r="H80" i="46"/>
  <c r="B45" i="46"/>
  <c r="E100" i="46"/>
  <c r="G100" i="46"/>
  <c r="H84" i="46"/>
  <c r="C100" i="46"/>
  <c r="J100" i="46"/>
  <c r="M100" i="46"/>
  <c r="AA12" i="36"/>
  <c r="S14" i="37"/>
  <c r="U13" i="37"/>
  <c r="C24" i="9"/>
  <c r="C25" i="9"/>
  <c r="G9" i="1"/>
  <c r="G8" i="1"/>
  <c r="I20" i="46"/>
  <c r="C46" i="36"/>
  <c r="C48" i="35"/>
  <c r="D48" i="35" s="1"/>
  <c r="E48" i="35" s="1"/>
  <c r="F48" i="35" s="1"/>
  <c r="C52" i="37"/>
  <c r="D52" i="37" s="1"/>
  <c r="E52" i="37" s="1"/>
  <c r="F52" i="37" s="1"/>
  <c r="O19" i="46"/>
  <c r="H86" i="46"/>
  <c r="H82" i="46"/>
  <c r="H10" i="48"/>
  <c r="H87" i="46"/>
  <c r="H85" i="46"/>
  <c r="H83" i="46"/>
  <c r="K10" i="1"/>
  <c r="M10" i="1" s="1"/>
  <c r="O10" i="1" s="1"/>
  <c r="S11" i="1"/>
  <c r="R11" i="1"/>
  <c r="S13" i="1"/>
  <c r="R13" i="1"/>
  <c r="B10" i="1"/>
  <c r="E10" i="1"/>
  <c r="S10" i="1"/>
  <c r="B8" i="1"/>
  <c r="E8" i="1" s="1"/>
  <c r="B12" i="1"/>
  <c r="E12" i="1" s="1"/>
  <c r="S12" i="1"/>
  <c r="G1" i="15"/>
  <c r="F66" i="36"/>
  <c r="H18" i="36"/>
  <c r="U16" i="36"/>
  <c r="AA34" i="36"/>
  <c r="AC27" i="36"/>
  <c r="W28" i="36"/>
  <c r="AA32" i="36"/>
  <c r="AA22" i="36"/>
  <c r="AA13" i="36"/>
  <c r="W9" i="36"/>
  <c r="W8" i="36"/>
  <c r="AC30" i="35"/>
  <c r="U24" i="35"/>
  <c r="S24" i="35"/>
  <c r="AA33" i="35"/>
  <c r="U32" i="35"/>
  <c r="W22" i="35"/>
  <c r="S32" i="35"/>
  <c r="W35" i="37"/>
  <c r="AC33" i="37"/>
  <c r="U33" i="37"/>
  <c r="AA13" i="37"/>
  <c r="S12" i="37"/>
  <c r="W38" i="37"/>
  <c r="U26" i="37"/>
  <c r="AB28" i="37"/>
  <c r="S28" i="37"/>
  <c r="U38" i="37"/>
  <c r="AA31" i="34"/>
  <c r="W47" i="34"/>
  <c r="AB47" i="34"/>
  <c r="AB13" i="34"/>
  <c r="AC13" i="34"/>
  <c r="AA29" i="34"/>
  <c r="S19" i="34"/>
  <c r="S8" i="34"/>
  <c r="AA19" i="33"/>
  <c r="AC25" i="33"/>
  <c r="AB42" i="33"/>
  <c r="AB14" i="33"/>
  <c r="S26" i="33"/>
  <c r="S15" i="33"/>
  <c r="S39" i="21"/>
  <c r="AA29" i="21"/>
  <c r="W31" i="21"/>
  <c r="AC27" i="21"/>
  <c r="G96" i="40"/>
  <c r="J27" i="40"/>
  <c r="AC27" i="40" s="1"/>
  <c r="S17" i="40"/>
  <c r="W30" i="40"/>
  <c r="S34" i="40"/>
  <c r="U38" i="40"/>
  <c r="S40" i="40"/>
  <c r="S42" i="40"/>
  <c r="G105" i="39"/>
  <c r="S45" i="39"/>
  <c r="W42" i="39"/>
  <c r="W36" i="39"/>
  <c r="U14" i="39"/>
  <c r="W16" i="39"/>
  <c r="W45" i="39"/>
  <c r="AA46" i="39"/>
  <c r="W10" i="39"/>
  <c r="W11" i="39"/>
  <c r="U42" i="39"/>
  <c r="S32" i="40"/>
  <c r="C27" i="39"/>
  <c r="C17" i="40"/>
  <c r="C19" i="40"/>
  <c r="C21" i="39"/>
  <c r="C23" i="40"/>
  <c r="B48" i="46"/>
  <c r="B55" i="46"/>
  <c r="D24" i="15"/>
  <c r="S14" i="36"/>
  <c r="AB20" i="36"/>
  <c r="AA20" i="36"/>
  <c r="AC14" i="36"/>
  <c r="W14" i="36"/>
  <c r="AB14" i="36"/>
  <c r="U18" i="36"/>
  <c r="AB18" i="36"/>
  <c r="S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39" i="40"/>
  <c r="AC39" i="40"/>
  <c r="W39" i="40"/>
  <c r="S39" i="40"/>
  <c r="AB37" i="40"/>
  <c r="AA37" i="40"/>
  <c r="S37" i="40"/>
  <c r="AB29" i="40"/>
  <c r="AC29" i="40"/>
  <c r="W29" i="40"/>
  <c r="AA29" i="40"/>
  <c r="S29" i="40"/>
  <c r="W19" i="40"/>
  <c r="AC19" i="40"/>
  <c r="AA19" i="40"/>
  <c r="S19" i="40"/>
  <c r="U19" i="40"/>
  <c r="W27" i="40"/>
  <c r="AT6" i="3"/>
  <c r="AZ16" i="3"/>
  <c r="G66" i="36"/>
  <c r="J18" i="36"/>
  <c r="AC18" i="36" s="1"/>
  <c r="AE8" i="1"/>
  <c r="AE7" i="1"/>
  <c r="AE6" i="1"/>
  <c r="W18" i="36"/>
  <c r="AG6" i="1"/>
  <c r="L20" i="6"/>
  <c r="S7" i="1"/>
  <c r="S8" i="1"/>
  <c r="S9" i="1"/>
  <c r="R9" i="1"/>
  <c r="R7" i="1"/>
  <c r="R8" i="1"/>
  <c r="C45" i="9"/>
  <c r="H14" i="66" s="1"/>
  <c r="B7" i="66" s="1"/>
  <c r="N76" i="9"/>
  <c r="C46" i="9"/>
  <c r="K33" i="9" s="1"/>
  <c r="K34" i="9" s="1"/>
  <c r="C72" i="39"/>
  <c r="D65" i="40"/>
  <c r="E65" i="40" s="1"/>
  <c r="H58" i="46"/>
  <c r="J17" i="46"/>
  <c r="C17" i="46"/>
  <c r="F34" i="46"/>
  <c r="F38" i="46"/>
  <c r="F37" i="46"/>
  <c r="H113" i="46"/>
  <c r="H49" i="46"/>
  <c r="H53" i="46"/>
  <c r="D15" i="59"/>
  <c r="C14" i="59"/>
  <c r="D14" i="59" s="1"/>
  <c r="U12" i="59"/>
  <c r="F15" i="59"/>
  <c r="F14" i="59" s="1"/>
  <c r="F13" i="59" s="1"/>
  <c r="F12" i="59" s="1"/>
  <c r="Y14" i="59"/>
  <c r="Z14" i="59" s="1"/>
  <c r="AA14" i="59"/>
  <c r="AB14" i="59"/>
  <c r="Y13" i="59"/>
  <c r="Z13" i="59" s="1"/>
  <c r="Y12" i="59"/>
  <c r="Z12" i="59" s="1"/>
  <c r="Y11" i="59"/>
  <c r="Z11" i="59" s="1"/>
  <c r="AB13" i="59"/>
  <c r="AB12" i="59"/>
  <c r="AB11" i="59"/>
  <c r="AA16" i="59"/>
  <c r="X14" i="59"/>
  <c r="X12" i="59"/>
  <c r="X11" i="59"/>
  <c r="AA12" i="59"/>
  <c r="AA11" i="59"/>
  <c r="H1" i="65"/>
  <c r="H51" i="46"/>
  <c r="X7" i="46"/>
  <c r="E17" i="46"/>
  <c r="N17" i="46"/>
  <c r="O17" i="46"/>
  <c r="M17" i="46"/>
  <c r="L17" i="46"/>
  <c r="O7" i="1"/>
  <c r="P7" i="1" s="1"/>
  <c r="O11" i="1"/>
  <c r="P11" i="1" s="1"/>
  <c r="O9" i="1"/>
  <c r="P9" i="1" s="1"/>
  <c r="G13" i="1"/>
  <c r="D46" i="36"/>
  <c r="G6" i="1"/>
  <c r="H70" i="46"/>
  <c r="H73" i="46"/>
  <c r="H50" i="46"/>
  <c r="H48" i="46"/>
  <c r="F35" i="46"/>
  <c r="I17" i="46"/>
  <c r="H63" i="46"/>
  <c r="H64" i="46"/>
  <c r="H66" i="46"/>
  <c r="D100" i="46"/>
  <c r="H62" i="46"/>
  <c r="AF12" i="46"/>
  <c r="K100" i="46"/>
  <c r="AB12" i="46"/>
  <c r="AJ12" i="46"/>
  <c r="B113" i="46"/>
  <c r="I118" i="46" s="1"/>
  <c r="J118" i="46" s="1"/>
  <c r="K118" i="46" s="1"/>
  <c r="L118" i="46" s="1"/>
  <c r="M118" i="46" s="1"/>
  <c r="AE11" i="46"/>
  <c r="H60" i="46"/>
  <c r="H59" i="46"/>
  <c r="H74" i="46"/>
  <c r="H65" i="46"/>
  <c r="H75" i="46"/>
  <c r="E10" i="46"/>
  <c r="E9" i="46"/>
  <c r="E11" i="46"/>
  <c r="E8" i="46"/>
  <c r="H72" i="46"/>
  <c r="H69" i="46"/>
  <c r="H77" i="46"/>
  <c r="H76" i="46"/>
  <c r="H55" i="46"/>
  <c r="H54" i="46"/>
  <c r="H52" i="46"/>
  <c r="H47" i="46"/>
  <c r="AD12" i="46"/>
  <c r="AH12" i="46"/>
  <c r="B13" i="59"/>
  <c r="B12" i="59" s="1"/>
  <c r="D67" i="40"/>
  <c r="E46" i="36"/>
  <c r="D118" i="46"/>
  <c r="E118" i="46" s="1"/>
  <c r="F118" i="46" s="1"/>
  <c r="C7" i="46"/>
  <c r="G20" i="46"/>
  <c r="E41" i="46" s="1"/>
  <c r="C41" i="46" s="1"/>
  <c r="F46" i="36"/>
  <c r="G46" i="36" s="1"/>
  <c r="F38" i="44"/>
  <c r="F43" i="44"/>
  <c r="F35" i="15"/>
  <c r="J3" i="65"/>
  <c r="F40" i="44"/>
  <c r="M30" i="44"/>
  <c r="J17" i="44"/>
  <c r="F39" i="44"/>
  <c r="M23" i="15"/>
  <c r="B9" i="67"/>
  <c r="F26" i="15"/>
  <c r="F38" i="15"/>
  <c r="M29" i="15"/>
  <c r="E14" i="67"/>
  <c r="F46" i="44"/>
  <c r="J4" i="65"/>
  <c r="M8" i="44"/>
  <c r="F8" i="67"/>
  <c r="J7" i="65"/>
  <c r="E9" i="67"/>
  <c r="F18" i="44"/>
  <c r="M9" i="15"/>
  <c r="L48" i="44"/>
  <c r="F11" i="67"/>
  <c r="M25" i="44"/>
  <c r="F9" i="15"/>
  <c r="M23" i="44"/>
  <c r="N6" i="65"/>
  <c r="I4" i="65"/>
  <c r="F10" i="44"/>
  <c r="F6" i="15"/>
  <c r="J15" i="15"/>
  <c r="M31" i="44"/>
  <c r="E12" i="67"/>
  <c r="L49" i="44"/>
  <c r="F14" i="67"/>
  <c r="F11" i="44"/>
  <c r="F40" i="15"/>
  <c r="J36" i="15"/>
  <c r="B14" i="67"/>
  <c r="F9" i="44"/>
  <c r="J6" i="65"/>
  <c r="M8" i="15"/>
  <c r="N3" i="65"/>
  <c r="F12" i="67"/>
  <c r="F43" i="15"/>
  <c r="M24" i="15"/>
  <c r="M22" i="15"/>
  <c r="F8" i="15"/>
  <c r="M6" i="15"/>
  <c r="F41" i="15"/>
  <c r="F36" i="15"/>
  <c r="M28" i="15"/>
  <c r="I3" i="65"/>
  <c r="F7" i="15"/>
  <c r="I5" i="65"/>
  <c r="M28" i="44"/>
  <c r="F10" i="67"/>
  <c r="M24" i="44"/>
  <c r="E8" i="67"/>
  <c r="F13" i="67"/>
  <c r="I7" i="65"/>
  <c r="B13" i="67"/>
  <c r="M26" i="15"/>
  <c r="F37" i="15"/>
  <c r="F8" i="44"/>
  <c r="L48" i="15"/>
  <c r="E13" i="67"/>
  <c r="J5" i="65"/>
  <c r="M21" i="15"/>
  <c r="N7" i="65"/>
  <c r="M27" i="15"/>
  <c r="B12" i="67"/>
  <c r="F37" i="44"/>
  <c r="M10" i="44"/>
  <c r="F42" i="15"/>
  <c r="M11" i="44"/>
  <c r="M26" i="44"/>
  <c r="L47" i="15"/>
  <c r="C19" i="44"/>
  <c r="M29" i="44"/>
  <c r="N5" i="65"/>
  <c r="F15" i="44"/>
  <c r="F16" i="15"/>
  <c r="F13" i="15"/>
  <c r="N4" i="65"/>
  <c r="F9" i="67"/>
  <c r="E10" i="67"/>
  <c r="I6" i="65"/>
  <c r="B11" i="67"/>
  <c r="F45" i="44"/>
  <c r="B8" i="67"/>
  <c r="E11" i="67"/>
  <c r="B10" i="67"/>
  <c r="F28" i="44"/>
  <c r="AC14" i="39" l="1"/>
  <c r="W14" i="39"/>
  <c r="U27" i="33"/>
  <c r="AB27" i="33"/>
  <c r="H126" i="39"/>
  <c r="I126" i="39" s="1"/>
  <c r="J126" i="39" s="1"/>
  <c r="K126" i="39" s="1"/>
  <c r="L126" i="39" s="1"/>
  <c r="M126" i="39" s="1"/>
  <c r="F43" i="39"/>
  <c r="G17" i="46"/>
  <c r="C16" i="46" s="1"/>
  <c r="O40" i="9"/>
  <c r="K31" i="9" s="1"/>
  <c r="K32" i="9" s="1"/>
  <c r="C20" i="46"/>
  <c r="F27" i="43"/>
  <c r="W47" i="39"/>
  <c r="AC47" i="39"/>
  <c r="S28" i="34"/>
  <c r="AA28" i="34"/>
  <c r="U45" i="33"/>
  <c r="AB45" i="33"/>
  <c r="W24" i="36"/>
  <c r="AC24" i="36"/>
  <c r="AZ374" i="3"/>
  <c r="A11" i="55"/>
  <c r="B62" i="63" s="1"/>
  <c r="AZ522" i="3"/>
  <c r="AZ526" i="3"/>
  <c r="AZ530" i="3"/>
  <c r="AZ568" i="3"/>
  <c r="AB35" i="35"/>
  <c r="AB45" i="34"/>
  <c r="AC11" i="36"/>
  <c r="AA30" i="33"/>
  <c r="AB15" i="37"/>
  <c r="AZ324" i="3"/>
  <c r="AZ305" i="3"/>
  <c r="AZ359" i="3"/>
  <c r="AZ307" i="3"/>
  <c r="AZ343" i="3"/>
  <c r="U12" i="37"/>
  <c r="AB43" i="33"/>
  <c r="U30" i="33"/>
  <c r="H45" i="21"/>
  <c r="F31" i="21"/>
  <c r="F27" i="21"/>
  <c r="W8" i="34"/>
  <c r="W9" i="34"/>
  <c r="F35" i="21"/>
  <c r="H35" i="21"/>
  <c r="AB35" i="21" s="1"/>
  <c r="BL13" i="3"/>
  <c r="J35" i="21"/>
  <c r="W35" i="21" s="1"/>
  <c r="C58" i="21"/>
  <c r="D58" i="21" s="1"/>
  <c r="E58" i="21" s="1"/>
  <c r="G7" i="21"/>
  <c r="I7" i="21"/>
  <c r="E7" i="21"/>
  <c r="J36" i="21"/>
  <c r="F9" i="35"/>
  <c r="F26" i="37"/>
  <c r="G568" i="3"/>
  <c r="BA567" i="3"/>
  <c r="AZ567" i="3" s="1"/>
  <c r="G566" i="3"/>
  <c r="BL565" i="3"/>
  <c r="G565" i="3"/>
  <c r="BA564" i="3"/>
  <c r="AZ564" i="3" s="1"/>
  <c r="BA563" i="3"/>
  <c r="G562" i="3"/>
  <c r="BA561" i="3"/>
  <c r="G561" i="3"/>
  <c r="G560" i="3"/>
  <c r="BL559" i="3"/>
  <c r="AZ559" i="3" s="1"/>
  <c r="G553" i="3"/>
  <c r="BA552" i="3"/>
  <c r="G548" i="3"/>
  <c r="BL547" i="3"/>
  <c r="AZ547" i="3" s="1"/>
  <c r="G541" i="3"/>
  <c r="BL539" i="3"/>
  <c r="AZ539" i="3" s="1"/>
  <c r="G539" i="3"/>
  <c r="G538" i="3"/>
  <c r="BA537" i="3"/>
  <c r="AZ537" i="3" s="1"/>
  <c r="G537" i="3"/>
  <c r="G533" i="3"/>
  <c r="G527" i="3"/>
  <c r="BL525" i="3"/>
  <c r="AZ525" i="3" s="1"/>
  <c r="G519" i="3"/>
  <c r="BA518" i="3"/>
  <c r="AZ518" i="3" s="1"/>
  <c r="G518" i="3"/>
  <c r="BL517" i="3"/>
  <c r="AZ517" i="3" s="1"/>
  <c r="G517" i="3"/>
  <c r="BA516" i="3"/>
  <c r="AZ516" i="3" s="1"/>
  <c r="BA515" i="3"/>
  <c r="G515" i="3"/>
  <c r="BA513" i="3"/>
  <c r="AZ513" i="3" s="1"/>
  <c r="G513" i="3"/>
  <c r="BL512" i="3"/>
  <c r="BC5" i="3"/>
  <c r="G509" i="3"/>
  <c r="BL507" i="3"/>
  <c r="AZ507" i="3" s="1"/>
  <c r="BA506" i="3"/>
  <c r="AZ506" i="3" s="1"/>
  <c r="BL505" i="3"/>
  <c r="BA505" i="3"/>
  <c r="G503" i="3"/>
  <c r="G502" i="3"/>
  <c r="G501" i="3"/>
  <c r="BA500" i="3"/>
  <c r="BL499" i="3"/>
  <c r="AZ499" i="3" s="1"/>
  <c r="G499" i="3"/>
  <c r="BA497" i="3"/>
  <c r="G495" i="3"/>
  <c r="BL494" i="3"/>
  <c r="AZ494" i="3" s="1"/>
  <c r="G493" i="3"/>
  <c r="G492" i="3"/>
  <c r="BL491" i="3"/>
  <c r="BA491" i="3"/>
  <c r="AZ491" i="3" s="1"/>
  <c r="BL490" i="3"/>
  <c r="AZ490" i="3" s="1"/>
  <c r="BA489" i="3"/>
  <c r="AZ489" i="3" s="1"/>
  <c r="G486" i="3"/>
  <c r="BA485" i="3"/>
  <c r="AZ485" i="3" s="1"/>
  <c r="G485" i="3"/>
  <c r="G484" i="3"/>
  <c r="BA483" i="3"/>
  <c r="BA482" i="3"/>
  <c r="AZ482" i="3" s="1"/>
  <c r="BL481" i="3"/>
  <c r="BA481" i="3"/>
  <c r="AZ481" i="3" s="1"/>
  <c r="G14" i="3"/>
  <c r="BA13" i="3"/>
  <c r="AZ13" i="3" s="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AZ406" i="3" s="1"/>
  <c r="G409" i="3"/>
  <c r="BL409" i="3"/>
  <c r="AZ409" i="3" s="1"/>
  <c r="BA412" i="3"/>
  <c r="AZ412" i="3" s="1"/>
  <c r="BL414" i="3"/>
  <c r="AZ414" i="3" s="1"/>
  <c r="BA416" i="3"/>
  <c r="AZ416" i="3" s="1"/>
  <c r="BL418" i="3"/>
  <c r="AZ418" i="3" s="1"/>
  <c r="BA419" i="3"/>
  <c r="AZ419" i="3" s="1"/>
  <c r="G422" i="3"/>
  <c r="G423" i="3"/>
  <c r="G424" i="3"/>
  <c r="BL424" i="3"/>
  <c r="AZ424" i="3" s="1"/>
  <c r="BA425" i="3"/>
  <c r="AZ425" i="3" s="1"/>
  <c r="BA426" i="3"/>
  <c r="AZ426" i="3" s="1"/>
  <c r="BL428" i="3"/>
  <c r="AZ428" i="3" s="1"/>
  <c r="G430" i="3"/>
  <c r="G431" i="3"/>
  <c r="G432" i="3"/>
  <c r="BL432" i="3"/>
  <c r="BL434" i="3"/>
  <c r="AZ434" i="3" s="1"/>
  <c r="G436" i="3"/>
  <c r="G437" i="3"/>
  <c r="BL437" i="3"/>
  <c r="BL439" i="3"/>
  <c r="AZ439" i="3" s="1"/>
  <c r="G441" i="3"/>
  <c r="G442" i="3"/>
  <c r="BL444" i="3"/>
  <c r="AZ444" i="3" s="1"/>
  <c r="G446" i="3"/>
  <c r="G447" i="3"/>
  <c r="BL447" i="3"/>
  <c r="AZ447" i="3" s="1"/>
  <c r="BA448" i="3"/>
  <c r="AZ448" i="3" s="1"/>
  <c r="BA449" i="3"/>
  <c r="AZ449" i="3" s="1"/>
  <c r="BA450" i="3"/>
  <c r="AZ450" i="3" s="1"/>
  <c r="BL452" i="3"/>
  <c r="AZ452" i="3" s="1"/>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AZ294" i="3" s="1"/>
  <c r="BA296" i="3"/>
  <c r="AZ296" i="3" s="1"/>
  <c r="G115" i="3"/>
  <c r="BA117" i="3"/>
  <c r="AZ117" i="3" s="1"/>
  <c r="BL118" i="3"/>
  <c r="AZ118" i="3" s="1"/>
  <c r="BA120" i="3"/>
  <c r="AZ120" i="3" s="1"/>
  <c r="BA121" i="3"/>
  <c r="AZ121" i="3" s="1"/>
  <c r="BL122" i="3"/>
  <c r="AZ122" i="3" s="1"/>
  <c r="G126" i="3"/>
  <c r="BA128" i="3"/>
  <c r="AZ128" i="3" s="1"/>
  <c r="G131" i="3"/>
  <c r="BA133" i="3"/>
  <c r="AZ133" i="3" s="1"/>
  <c r="BL134" i="3"/>
  <c r="AZ134" i="3" s="1"/>
  <c r="BA136" i="3"/>
  <c r="AZ136" i="3" s="1"/>
  <c r="BA137" i="3"/>
  <c r="AZ137" i="3" s="1"/>
  <c r="BL138" i="3"/>
  <c r="AZ138" i="3" s="1"/>
  <c r="G142" i="3"/>
  <c r="BA144" i="3"/>
  <c r="AZ144" i="3" s="1"/>
  <c r="G147" i="3"/>
  <c r="BA149" i="3"/>
  <c r="AZ149" i="3" s="1"/>
  <c r="BL150" i="3"/>
  <c r="AZ150" i="3" s="1"/>
  <c r="BA152" i="3"/>
  <c r="AZ152" i="3" s="1"/>
  <c r="BL153" i="3"/>
  <c r="AZ153" i="3" s="1"/>
  <c r="BA155" i="3"/>
  <c r="AZ155" i="3" s="1"/>
  <c r="G158" i="3"/>
  <c r="G161" i="3"/>
  <c r="BA163" i="3"/>
  <c r="AZ163" i="3" s="1"/>
  <c r="BA164" i="3"/>
  <c r="AZ164" i="3" s="1"/>
  <c r="BL165" i="3"/>
  <c r="AZ165" i="3" s="1"/>
  <c r="BA168" i="3"/>
  <c r="AZ168" i="3" s="1"/>
  <c r="BL169" i="3"/>
  <c r="AZ169" i="3" s="1"/>
  <c r="BA171" i="3"/>
  <c r="AZ171" i="3" s="1"/>
  <c r="G174" i="3"/>
  <c r="G177" i="3"/>
  <c r="G178" i="3"/>
  <c r="BL180" i="3"/>
  <c r="AZ180" i="3" s="1"/>
  <c r="BA182" i="3"/>
  <c r="AZ182" i="3" s="1"/>
  <c r="BA183" i="3"/>
  <c r="AZ183" i="3" s="1"/>
  <c r="BL184" i="3"/>
  <c r="AZ184" i="3" s="1"/>
  <c r="G187" i="3"/>
  <c r="G188" i="3"/>
  <c r="AZ100" i="3"/>
  <c r="E83" i="21"/>
  <c r="F83" i="21" s="1"/>
  <c r="G83" i="21" s="1"/>
  <c r="F21" i="21"/>
  <c r="C23" i="59"/>
  <c r="D22" i="59"/>
  <c r="C32" i="59"/>
  <c r="D31" i="59"/>
  <c r="D36" i="59"/>
  <c r="T36" i="59"/>
  <c r="D50" i="59"/>
  <c r="C51" i="59"/>
  <c r="D51" i="59" s="1"/>
  <c r="BL188" i="3"/>
  <c r="AZ188" i="3" s="1"/>
  <c r="BA190" i="3"/>
  <c r="AZ190" i="3" s="1"/>
  <c r="BA191" i="3"/>
  <c r="AZ191" i="3" s="1"/>
  <c r="BL192" i="3"/>
  <c r="AZ192" i="3" s="1"/>
  <c r="G195" i="3"/>
  <c r="G196" i="3"/>
  <c r="G199" i="3"/>
  <c r="G200" i="3"/>
  <c r="G202" i="3"/>
  <c r="BL202" i="3"/>
  <c r="AZ202" i="3" s="1"/>
  <c r="BA204" i="3"/>
  <c r="AZ204" i="3" s="1"/>
  <c r="BA22" i="3"/>
  <c r="AZ22" i="3" s="1"/>
  <c r="BA23" i="3"/>
  <c r="AZ23" i="3" s="1"/>
  <c r="BA24" i="3"/>
  <c r="AZ24" i="3" s="1"/>
  <c r="BA26" i="3"/>
  <c r="AZ26" i="3" s="1"/>
  <c r="BA27" i="3"/>
  <c r="AZ27" i="3" s="1"/>
  <c r="BA29" i="3"/>
  <c r="AZ29" i="3" s="1"/>
  <c r="BL31" i="3"/>
  <c r="AZ31" i="3" s="1"/>
  <c r="BA33" i="3"/>
  <c r="AZ33" i="3" s="1"/>
  <c r="G36" i="3"/>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BA75" i="3"/>
  <c r="AZ75" i="3" s="1"/>
  <c r="G78" i="3"/>
  <c r="G79" i="3"/>
  <c r="G80" i="3"/>
  <c r="BL80" i="3"/>
  <c r="AZ80" i="3" s="1"/>
  <c r="BA81" i="3"/>
  <c r="AZ81" i="3" s="1"/>
  <c r="BA82" i="3"/>
  <c r="AZ82" i="3" s="1"/>
  <c r="BL84" i="3"/>
  <c r="AZ84" i="3" s="1"/>
  <c r="BA85" i="3"/>
  <c r="AZ85" i="3" s="1"/>
  <c r="BA86" i="3"/>
  <c r="AZ86" i="3" s="1"/>
  <c r="G89" i="3"/>
  <c r="BL89" i="3"/>
  <c r="AZ89" i="3" s="1"/>
  <c r="BL91" i="3"/>
  <c r="AZ91" i="3" s="1"/>
  <c r="BA92" i="3"/>
  <c r="AZ92" i="3" s="1"/>
  <c r="BL94" i="3"/>
  <c r="AZ94" i="3" s="1"/>
  <c r="BA95" i="3"/>
  <c r="AZ95" i="3" s="1"/>
  <c r="G98" i="3"/>
  <c r="G99" i="3"/>
  <c r="G100" i="3"/>
  <c r="BL100" i="3"/>
  <c r="BA101" i="3"/>
  <c r="AZ101" i="3" s="1"/>
  <c r="BA102" i="3"/>
  <c r="AZ102" i="3" s="1"/>
  <c r="G105" i="3"/>
  <c r="BL105" i="3"/>
  <c r="AZ105" i="3" s="1"/>
  <c r="BL107" i="3"/>
  <c r="AZ107" i="3" s="1"/>
  <c r="BA108" i="3"/>
  <c r="AZ108" i="3" s="1"/>
  <c r="BL110" i="3"/>
  <c r="AZ110" i="3" s="1"/>
  <c r="BA111" i="3"/>
  <c r="AZ111" i="3" s="1"/>
  <c r="BA112" i="3"/>
  <c r="AZ112" i="3" s="1"/>
  <c r="K13" i="1"/>
  <c r="M13" i="1" s="1"/>
  <c r="O13" i="1" s="1"/>
  <c r="P13" i="1" s="1"/>
  <c r="I10" i="57"/>
  <c r="C31" i="39"/>
  <c r="C48" i="59"/>
  <c r="D47" i="59"/>
  <c r="P59" i="59"/>
  <c r="E58" i="59"/>
  <c r="L16" i="4"/>
  <c r="N16" i="4"/>
  <c r="C79" i="59"/>
  <c r="E71" i="59"/>
  <c r="E70" i="59" s="1"/>
  <c r="E67" i="59"/>
  <c r="E66" i="59" s="1"/>
  <c r="Q60" i="59"/>
  <c r="P60" i="59"/>
  <c r="C55" i="59"/>
  <c r="D34" i="59"/>
  <c r="AA19" i="59"/>
  <c r="X3" i="59"/>
  <c r="AA21" i="59"/>
  <c r="AA22" i="59"/>
  <c r="X23" i="59"/>
  <c r="AA24" i="59"/>
  <c r="Y17" i="59"/>
  <c r="Z17" i="59" s="1"/>
  <c r="Y26" i="59"/>
  <c r="Z26" i="59" s="1"/>
  <c r="Y28" i="59"/>
  <c r="Z28" i="59" s="1"/>
  <c r="AA30" i="59"/>
  <c r="B35" i="59"/>
  <c r="B36" i="59" s="1"/>
  <c r="S36" i="59" s="1"/>
  <c r="B55" i="59"/>
  <c r="B56" i="59" s="1"/>
  <c r="S56" i="59" s="1"/>
  <c r="F59" i="59"/>
  <c r="AE12" i="46"/>
  <c r="AE13" i="46" s="1"/>
  <c r="L76" i="9"/>
  <c r="U41" i="39"/>
  <c r="AA47" i="39"/>
  <c r="U34" i="39"/>
  <c r="W25" i="39"/>
  <c r="S23" i="39"/>
  <c r="S17" i="39"/>
  <c r="AC11" i="21"/>
  <c r="AB32" i="21"/>
  <c r="S42" i="21"/>
  <c r="H113" i="21"/>
  <c r="J37" i="21"/>
  <c r="F37" i="21"/>
  <c r="H37" i="21"/>
  <c r="AA38" i="21"/>
  <c r="AC38" i="21"/>
  <c r="AB36" i="21"/>
  <c r="AB34" i="21"/>
  <c r="U30" i="21"/>
  <c r="AB30" i="21"/>
  <c r="AA28" i="21"/>
  <c r="J30" i="21"/>
  <c r="F30" i="21"/>
  <c r="J28" i="21"/>
  <c r="B66" i="46"/>
  <c r="S12" i="21"/>
  <c r="AA12" i="21"/>
  <c r="S13" i="21"/>
  <c r="H12" i="21"/>
  <c r="W42" i="21"/>
  <c r="U42" i="21"/>
  <c r="AA36" i="21"/>
  <c r="U35" i="21"/>
  <c r="AC35" i="21"/>
  <c r="U40" i="21"/>
  <c r="W39" i="21"/>
  <c r="U39" i="21"/>
  <c r="S34" i="21"/>
  <c r="W32" i="21"/>
  <c r="S32" i="21"/>
  <c r="W29" i="21"/>
  <c r="AB31" i="21"/>
  <c r="S26" i="21"/>
  <c r="AC46" i="21"/>
  <c r="S44" i="21"/>
  <c r="AC45" i="21"/>
  <c r="U43" i="21"/>
  <c r="AC40" i="21"/>
  <c r="W41" i="21"/>
  <c r="F85" i="21"/>
  <c r="G85" i="21" s="1"/>
  <c r="F23" i="21"/>
  <c r="J23" i="21"/>
  <c r="W23" i="21" s="1"/>
  <c r="H23" i="21"/>
  <c r="U23" i="21" s="1"/>
  <c r="J15" i="21"/>
  <c r="F77" i="21"/>
  <c r="G77" i="21" s="1"/>
  <c r="H15" i="21"/>
  <c r="F15" i="21"/>
  <c r="F81" i="21"/>
  <c r="G81" i="21" s="1"/>
  <c r="F19" i="21"/>
  <c r="S19" i="21" s="1"/>
  <c r="J19" i="21"/>
  <c r="H19" i="21"/>
  <c r="AA17" i="21"/>
  <c r="F107" i="39"/>
  <c r="G107" i="39" s="1"/>
  <c r="H107" i="39" s="1"/>
  <c r="I107" i="39" s="1"/>
  <c r="J107" i="39" s="1"/>
  <c r="K107" i="39" s="1"/>
  <c r="L107" i="39" s="1"/>
  <c r="M107" i="39" s="1"/>
  <c r="F33" i="39"/>
  <c r="J33" i="39"/>
  <c r="W33" i="39" s="1"/>
  <c r="H33" i="39"/>
  <c r="F103" i="39"/>
  <c r="G103" i="39" s="1"/>
  <c r="H29" i="39"/>
  <c r="J29" i="39"/>
  <c r="AC29" i="39" s="1"/>
  <c r="F29" i="39"/>
  <c r="J31" i="39"/>
  <c r="W31" i="39" s="1"/>
  <c r="U31" i="39"/>
  <c r="F31" i="39"/>
  <c r="AA31" i="39" s="1"/>
  <c r="W8" i="21"/>
  <c r="S8" i="21"/>
  <c r="AB10" i="21"/>
  <c r="S10" i="21"/>
  <c r="AA25" i="21"/>
  <c r="AB23" i="21"/>
  <c r="AC23" i="21"/>
  <c r="W17" i="21"/>
  <c r="U17" i="21"/>
  <c r="H43" i="39"/>
  <c r="AA44" i="39"/>
  <c r="AB44" i="39"/>
  <c r="S41" i="39"/>
  <c r="AC41" i="39"/>
  <c r="W40" i="39"/>
  <c r="S37" i="39"/>
  <c r="AA37" i="39"/>
  <c r="S38" i="39"/>
  <c r="AC38" i="39"/>
  <c r="J37" i="39"/>
  <c r="AC31" i="39"/>
  <c r="W29" i="39"/>
  <c r="S25" i="39"/>
  <c r="AB25" i="39"/>
  <c r="AA21" i="39"/>
  <c r="AC17" i="39"/>
  <c r="AC44" i="39"/>
  <c r="W43" i="39"/>
  <c r="S15" i="39"/>
  <c r="S34" i="39"/>
  <c r="W34" i="39"/>
  <c r="W15" i="39"/>
  <c r="S13" i="39"/>
  <c r="U11" i="39"/>
  <c r="S11" i="39"/>
  <c r="C18" i="9"/>
  <c r="B62" i="46"/>
  <c r="B51" i="46"/>
  <c r="C17" i="39"/>
  <c r="C95" i="9"/>
  <c r="C92" i="9" s="1"/>
  <c r="F28" i="15"/>
  <c r="C28" i="15" s="1"/>
  <c r="F30" i="44"/>
  <c r="C30" i="44" s="1"/>
  <c r="D96" i="9"/>
  <c r="M20" i="44"/>
  <c r="S5" i="46"/>
  <c r="I116" i="46"/>
  <c r="J116" i="46" s="1"/>
  <c r="K116" i="46" s="1"/>
  <c r="L116" i="46" s="1"/>
  <c r="M116" i="46" s="1"/>
  <c r="AG11" i="46"/>
  <c r="AG13" i="46" s="1"/>
  <c r="AC11" i="46"/>
  <c r="AC13" i="46" s="1"/>
  <c r="O12" i="1"/>
  <c r="P12" i="1" s="1"/>
  <c r="K6" i="1"/>
  <c r="M6" i="1" s="1"/>
  <c r="B6" i="1"/>
  <c r="E6" i="1" s="1"/>
  <c r="K1" i="12"/>
  <c r="S6" i="46"/>
  <c r="B117" i="46"/>
  <c r="C117" i="46" s="1"/>
  <c r="D116" i="46"/>
  <c r="E116" i="46" s="1"/>
  <c r="F116" i="46" s="1"/>
  <c r="G116" i="46" s="1"/>
  <c r="H116" i="46" s="1"/>
  <c r="C23" i="46"/>
  <c r="AH11" i="46"/>
  <c r="AH13" i="46" s="1"/>
  <c r="E101" i="46"/>
  <c r="E104" i="46" s="1"/>
  <c r="C101" i="46"/>
  <c r="C109" i="46" s="1"/>
  <c r="H22" i="46"/>
  <c r="H16" i="1"/>
  <c r="Q16" i="1"/>
  <c r="P10" i="1"/>
  <c r="BP5" i="3"/>
  <c r="G29" i="6" s="1"/>
  <c r="BK5" i="3"/>
  <c r="BG5" i="3"/>
  <c r="S3" i="46"/>
  <c r="C105" i="46"/>
  <c r="D115" i="46"/>
  <c r="E115" i="46" s="1"/>
  <c r="F115" i="46" s="1"/>
  <c r="G115" i="46" s="1"/>
  <c r="H115" i="46" s="1"/>
  <c r="B116" i="46"/>
  <c r="C116" i="46" s="1"/>
  <c r="I115" i="46"/>
  <c r="J115" i="46" s="1"/>
  <c r="K115" i="46" s="1"/>
  <c r="L115" i="46" s="1"/>
  <c r="M115" i="46" s="1"/>
  <c r="E107" i="46"/>
  <c r="AI11" i="46"/>
  <c r="AI13" i="46" s="1"/>
  <c r="Z11" i="46"/>
  <c r="Z13" i="46" s="1"/>
  <c r="K101" i="46"/>
  <c r="K109" i="46" s="1"/>
  <c r="L101" i="46"/>
  <c r="L104" i="46" s="1"/>
  <c r="G101" i="46"/>
  <c r="G104" i="46" s="1"/>
  <c r="AJ11" i="46"/>
  <c r="AJ13" i="46" s="1"/>
  <c r="M101" i="46"/>
  <c r="M105" i="46" s="1"/>
  <c r="J22" i="46"/>
  <c r="S4" i="46"/>
  <c r="S7" i="46"/>
  <c r="S2" i="46"/>
  <c r="C103" i="46"/>
  <c r="B118" i="46"/>
  <c r="C118" i="46" s="1"/>
  <c r="G118" i="46"/>
  <c r="H118" i="46" s="1"/>
  <c r="I117" i="46"/>
  <c r="J117" i="46" s="1"/>
  <c r="K117" i="46" s="1"/>
  <c r="L117" i="46" s="1"/>
  <c r="M117" i="46" s="1"/>
  <c r="D117" i="46"/>
  <c r="E117" i="46" s="1"/>
  <c r="F117" i="46" s="1"/>
  <c r="G117" i="46" s="1"/>
  <c r="H117" i="46" s="1"/>
  <c r="B115" i="46"/>
  <c r="C115" i="46" s="1"/>
  <c r="L103" i="46"/>
  <c r="E102" i="46"/>
  <c r="AB11" i="46"/>
  <c r="AF11" i="46"/>
  <c r="AF13" i="46" s="1"/>
  <c r="AA11" i="46"/>
  <c r="AA13" i="46" s="1"/>
  <c r="E22" i="46"/>
  <c r="Z7" i="46"/>
  <c r="F22" i="46"/>
  <c r="N104" i="45"/>
  <c r="J101" i="46"/>
  <c r="J104" i="46" s="1"/>
  <c r="AB13" i="46"/>
  <c r="AD11" i="46"/>
  <c r="AD13" i="46" s="1"/>
  <c r="N101" i="46"/>
  <c r="N109" i="46" s="1"/>
  <c r="I101" i="46"/>
  <c r="D101" i="46"/>
  <c r="F101" i="46"/>
  <c r="G22" i="46"/>
  <c r="H101" i="46"/>
  <c r="C53" i="10"/>
  <c r="A25" i="64" s="1"/>
  <c r="A18" i="64"/>
  <c r="B74" i="63" s="1"/>
  <c r="A18" i="51"/>
  <c r="B14" i="63" s="1"/>
  <c r="L5" i="54"/>
  <c r="B39" i="63" s="1"/>
  <c r="T41" i="4"/>
  <c r="A17" i="64" s="1"/>
  <c r="K5" i="54"/>
  <c r="B38" i="63" s="1"/>
  <c r="J57" i="39"/>
  <c r="C51" i="10"/>
  <c r="A4" i="64"/>
  <c r="A4" i="51"/>
  <c r="B6" i="63" s="1"/>
  <c r="O41" i="9"/>
  <c r="R8" i="54" s="1"/>
  <c r="B54" i="63" s="1"/>
  <c r="B21" i="63"/>
  <c r="K76" i="9"/>
  <c r="I14" i="66"/>
  <c r="B8" i="66" s="1"/>
  <c r="E70" i="39"/>
  <c r="D72" i="39"/>
  <c r="AP7" i="1"/>
  <c r="AP16" i="1" s="1"/>
  <c r="F22" i="11" s="1"/>
  <c r="C27" i="43"/>
  <c r="C25" i="12"/>
  <c r="G12" i="1"/>
  <c r="G16" i="1" s="1"/>
  <c r="G59" i="34"/>
  <c r="H59" i="34" s="1"/>
  <c r="I59" i="34" s="1"/>
  <c r="J59" i="34" s="1"/>
  <c r="K59" i="34" s="1"/>
  <c r="L59" i="34" s="1"/>
  <c r="M59" i="34" s="1"/>
  <c r="N59" i="34" s="1"/>
  <c r="O59" i="34" s="1"/>
  <c r="B11" i="59"/>
  <c r="B10" i="59" s="1"/>
  <c r="B9" i="59" s="1"/>
  <c r="S12" i="59"/>
  <c r="D5" i="46"/>
  <c r="C5" i="46"/>
  <c r="G52" i="37"/>
  <c r="H52" i="37" s="1"/>
  <c r="I52" i="37" s="1"/>
  <c r="J52" i="37" s="1"/>
  <c r="K52" i="37" s="1"/>
  <c r="L52" i="37" s="1"/>
  <c r="M52" i="37" s="1"/>
  <c r="N52" i="37" s="1"/>
  <c r="O52" i="37" s="1"/>
  <c r="J7" i="37"/>
  <c r="H46" i="36"/>
  <c r="I46" i="36" s="1"/>
  <c r="J46" i="36" s="1"/>
  <c r="K46" i="36" s="1"/>
  <c r="L46" i="36" s="1"/>
  <c r="M46" i="36" s="1"/>
  <c r="N46" i="36" s="1"/>
  <c r="O46" i="36" s="1"/>
  <c r="F7" i="36"/>
  <c r="H7" i="36"/>
  <c r="J7" i="36"/>
  <c r="G48" i="35"/>
  <c r="H48" i="35" s="1"/>
  <c r="I48" i="35" s="1"/>
  <c r="J48" i="35" s="1"/>
  <c r="K48" i="35" s="1"/>
  <c r="L48" i="35" s="1"/>
  <c r="M48" i="35" s="1"/>
  <c r="N48" i="35" s="1"/>
  <c r="O48" i="35" s="1"/>
  <c r="F11" i="59"/>
  <c r="F10" i="59" s="1"/>
  <c r="F9" i="59" s="1"/>
  <c r="F8" i="59" s="1"/>
  <c r="V12" i="59"/>
  <c r="E67" i="40"/>
  <c r="F65" i="40"/>
  <c r="H7" i="33"/>
  <c r="G58" i="33"/>
  <c r="H58" i="33" s="1"/>
  <c r="I58" i="33" s="1"/>
  <c r="J58" i="33" s="1"/>
  <c r="K58" i="33" s="1"/>
  <c r="L58" i="33" s="1"/>
  <c r="M58" i="33" s="1"/>
  <c r="N58" i="33" s="1"/>
  <c r="O58" i="33" s="1"/>
  <c r="F58" i="21"/>
  <c r="G58" i="21" s="1"/>
  <c r="H58" i="21" s="1"/>
  <c r="I58" i="21" s="1"/>
  <c r="J58" i="21" s="1"/>
  <c r="K58" i="21" s="1"/>
  <c r="L58" i="21" s="1"/>
  <c r="M58" i="21" s="1"/>
  <c r="N58" i="21" s="1"/>
  <c r="O58" i="21" s="1"/>
  <c r="AB17" i="40"/>
  <c r="U17" i="40"/>
  <c r="AA25" i="40"/>
  <c r="S25" i="40"/>
  <c r="W35" i="33"/>
  <c r="AC35" i="33"/>
  <c r="AC17" i="34"/>
  <c r="W17" i="34"/>
  <c r="AB23" i="39"/>
  <c r="U23" i="39"/>
  <c r="AB15" i="34"/>
  <c r="U15" i="34"/>
  <c r="AC35" i="40"/>
  <c r="W35" i="40"/>
  <c r="U32" i="40"/>
  <c r="AB32" i="40"/>
  <c r="AC25" i="40"/>
  <c r="W25" i="40"/>
  <c r="AC27" i="39"/>
  <c r="W27" i="39"/>
  <c r="AA27" i="39"/>
  <c r="S27" i="39"/>
  <c r="AC20" i="35"/>
  <c r="W20" i="35"/>
  <c r="U38" i="34"/>
  <c r="AB38" i="34"/>
  <c r="W46" i="39"/>
  <c r="AC46" i="39"/>
  <c r="S11" i="36"/>
  <c r="AA11" i="36"/>
  <c r="AC32" i="35"/>
  <c r="W32" i="35"/>
  <c r="U43" i="39"/>
  <c r="AB43" i="39"/>
  <c r="AB32" i="37"/>
  <c r="U32" i="37"/>
  <c r="AC46" i="34"/>
  <c r="W46" i="34"/>
  <c r="W30" i="34"/>
  <c r="AC30" i="34"/>
  <c r="AB30" i="34"/>
  <c r="U30" i="34"/>
  <c r="AC12" i="34"/>
  <c r="W12" i="34"/>
  <c r="W13" i="33"/>
  <c r="AC13" i="33"/>
  <c r="AB19" i="33"/>
  <c r="U19" i="33"/>
  <c r="S11" i="33"/>
  <c r="AA11" i="33"/>
  <c r="AZ370" i="3"/>
  <c r="AZ340" i="3"/>
  <c r="AZ381" i="3"/>
  <c r="AZ372" i="3"/>
  <c r="AZ355" i="3"/>
  <c r="W11" i="37"/>
  <c r="AC11" i="37"/>
  <c r="AA43" i="33"/>
  <c r="S43" i="33"/>
  <c r="AA37" i="37"/>
  <c r="S37" i="37"/>
  <c r="AC32" i="37"/>
  <c r="W32" i="37"/>
  <c r="AA10" i="35"/>
  <c r="S10" i="35"/>
  <c r="U35" i="34"/>
  <c r="AB35" i="34"/>
  <c r="AB28" i="34"/>
  <c r="U28" i="34"/>
  <c r="BL18" i="3"/>
  <c r="AZ18" i="3" s="1"/>
  <c r="BQ5" i="3"/>
  <c r="F28" i="6" s="1"/>
  <c r="AZ492" i="3"/>
  <c r="AZ520" i="3"/>
  <c r="AZ536" i="3"/>
  <c r="AZ493" i="3"/>
  <c r="AC36" i="37"/>
  <c r="W36" i="37"/>
  <c r="AC13" i="37"/>
  <c r="W13" i="37"/>
  <c r="AA25" i="36"/>
  <c r="S25" i="36"/>
  <c r="AC35" i="35"/>
  <c r="W35" i="35"/>
  <c r="AA25" i="35"/>
  <c r="S25" i="35"/>
  <c r="AA47" i="34"/>
  <c r="S47" i="34"/>
  <c r="AB31" i="34"/>
  <c r="U31" i="34"/>
  <c r="U29" i="34"/>
  <c r="AB29" i="34"/>
  <c r="AB46" i="33"/>
  <c r="U46" i="33"/>
  <c r="AC46" i="33"/>
  <c r="W46" i="33"/>
  <c r="U40" i="37"/>
  <c r="AB40" i="37"/>
  <c r="AB13" i="36"/>
  <c r="U13" i="36"/>
  <c r="AC19" i="34"/>
  <c r="W19" i="34"/>
  <c r="S11" i="21"/>
  <c r="AA11" i="21"/>
  <c r="AB38" i="21"/>
  <c r="U38" i="21"/>
  <c r="H5" i="3"/>
  <c r="BL572" i="3"/>
  <c r="BA572" i="3"/>
  <c r="BL571" i="3"/>
  <c r="AZ571" i="3" s="1"/>
  <c r="AA34" i="34"/>
  <c r="S34" i="34"/>
  <c r="AC8" i="35"/>
  <c r="W8" i="35"/>
  <c r="W9" i="35"/>
  <c r="AC9" i="35"/>
  <c r="AA12" i="35"/>
  <c r="S12" i="35"/>
  <c r="H44" i="33"/>
  <c r="F44" i="33"/>
  <c r="H12" i="35"/>
  <c r="J12" i="35"/>
  <c r="F11" i="35"/>
  <c r="J11" i="35"/>
  <c r="U8" i="36"/>
  <c r="AB8" i="36"/>
  <c r="AA9" i="36"/>
  <c r="S9" i="36"/>
  <c r="H7" i="37"/>
  <c r="H7" i="35"/>
  <c r="J7" i="35"/>
  <c r="N104" i="46"/>
  <c r="F7" i="21"/>
  <c r="C13" i="59"/>
  <c r="I106" i="46"/>
  <c r="F7" i="33"/>
  <c r="J7" i="33"/>
  <c r="R7" i="54"/>
  <c r="B52" i="63" s="1"/>
  <c r="F29" i="6"/>
  <c r="E29" i="6" s="1"/>
  <c r="K15" i="1" s="1"/>
  <c r="AC37" i="40"/>
  <c r="W37" i="40"/>
  <c r="U10" i="33"/>
  <c r="AB10" i="33"/>
  <c r="AB11" i="34"/>
  <c r="U11" i="34"/>
  <c r="AC23" i="39"/>
  <c r="W23" i="39"/>
  <c r="F34" i="44"/>
  <c r="F66" i="9"/>
  <c r="P72" i="9" s="1"/>
  <c r="F72" i="9"/>
  <c r="F32" i="15"/>
  <c r="F59" i="15" s="1"/>
  <c r="F29" i="12"/>
  <c r="D86" i="9"/>
  <c r="F31" i="43"/>
  <c r="C31" i="43" s="1"/>
  <c r="M18" i="15"/>
  <c r="W16" i="40"/>
  <c r="AC16" i="40"/>
  <c r="AB33" i="40"/>
  <c r="U33" i="40"/>
  <c r="AA15" i="40"/>
  <c r="S15" i="40"/>
  <c r="AB27" i="39"/>
  <c r="U27" i="39"/>
  <c r="AB30" i="40"/>
  <c r="U30" i="40"/>
  <c r="U17" i="39"/>
  <c r="AB17" i="39"/>
  <c r="AB11" i="36"/>
  <c r="U11" i="36"/>
  <c r="S19" i="39"/>
  <c r="AA19" i="39"/>
  <c r="AA46" i="34"/>
  <c r="S46" i="34"/>
  <c r="W32" i="34"/>
  <c r="AC32" i="34"/>
  <c r="AB14" i="34"/>
  <c r="U14" i="34"/>
  <c r="AB12" i="34"/>
  <c r="U12" i="34"/>
  <c r="AA35" i="33"/>
  <c r="S35" i="33"/>
  <c r="W15" i="33"/>
  <c r="AC15" i="33"/>
  <c r="AA10" i="33"/>
  <c r="S10" i="33"/>
  <c r="AB13" i="39"/>
  <c r="U13" i="39"/>
  <c r="S21" i="40"/>
  <c r="AA21" i="40"/>
  <c r="W15" i="37"/>
  <c r="AC15" i="37"/>
  <c r="W41" i="34"/>
  <c r="AC41" i="34"/>
  <c r="AA42" i="33"/>
  <c r="S42" i="33"/>
  <c r="AC25" i="21"/>
  <c r="W25" i="21"/>
  <c r="U25" i="21"/>
  <c r="AB25" i="21"/>
  <c r="S22" i="31"/>
  <c r="AZ562" i="3"/>
  <c r="AA27" i="37"/>
  <c r="S27" i="37"/>
  <c r="S38" i="37"/>
  <c r="AA38" i="37"/>
  <c r="AC31" i="33"/>
  <c r="W31" i="33"/>
  <c r="AA45" i="21"/>
  <c r="S45" i="21"/>
  <c r="S31" i="21"/>
  <c r="AA31" i="21"/>
  <c r="U29" i="21"/>
  <c r="AB29" i="21"/>
  <c r="AA27" i="21"/>
  <c r="S27" i="21"/>
  <c r="AB27" i="21"/>
  <c r="U27" i="21"/>
  <c r="S27" i="36"/>
  <c r="AA27" i="36"/>
  <c r="AB10" i="36"/>
  <c r="U10" i="36"/>
  <c r="AB46" i="21"/>
  <c r="U46" i="21"/>
  <c r="AB28" i="21"/>
  <c r="U28" i="21"/>
  <c r="AA14" i="21"/>
  <c r="S14" i="21"/>
  <c r="W10" i="35"/>
  <c r="AC10" i="35"/>
  <c r="W37" i="33"/>
  <c r="AC37" i="33"/>
  <c r="AB33" i="35"/>
  <c r="U33" i="35"/>
  <c r="AA24" i="36"/>
  <c r="S24" i="36"/>
  <c r="AC29" i="36"/>
  <c r="W29" i="36"/>
  <c r="AA22" i="35"/>
  <c r="S22" i="35"/>
  <c r="AA29" i="36"/>
  <c r="S29" i="36"/>
  <c r="AA35" i="21"/>
  <c r="S35" i="21"/>
  <c r="W34" i="21"/>
  <c r="AC34" i="21"/>
  <c r="B47" i="46"/>
  <c r="C19" i="39"/>
  <c r="B70" i="46"/>
  <c r="C23" i="39"/>
  <c r="B59" i="46"/>
  <c r="B73" i="46"/>
  <c r="C29" i="39"/>
  <c r="B64" i="46"/>
  <c r="J26" i="33"/>
  <c r="H26" i="33"/>
  <c r="BL566" i="3"/>
  <c r="AZ515" i="3"/>
  <c r="BL508" i="3"/>
  <c r="AZ508" i="3" s="1"/>
  <c r="BD5" i="3"/>
  <c r="G506" i="3"/>
  <c r="BL502" i="3"/>
  <c r="BL500" i="3"/>
  <c r="AZ500" i="3" s="1"/>
  <c r="AZ497" i="3"/>
  <c r="BF5" i="3"/>
  <c r="U23" i="36"/>
  <c r="H26" i="35"/>
  <c r="J41" i="40"/>
  <c r="F41" i="40"/>
  <c r="BB5" i="3"/>
  <c r="AC26" i="36"/>
  <c r="AZ544" i="3"/>
  <c r="AC31" i="34"/>
  <c r="W31" i="34"/>
  <c r="AB36" i="37"/>
  <c r="S27" i="33"/>
  <c r="AA27" i="33"/>
  <c r="U13" i="21"/>
  <c r="AB13" i="21"/>
  <c r="U14" i="21"/>
  <c r="AB14" i="21"/>
  <c r="AA19" i="21"/>
  <c r="AB9" i="21"/>
  <c r="U9" i="21"/>
  <c r="BI5" i="3"/>
  <c r="F9" i="21"/>
  <c r="J9" i="21"/>
  <c r="F28" i="33"/>
  <c r="J28" i="33"/>
  <c r="AB26" i="36"/>
  <c r="U26" i="36"/>
  <c r="J12" i="36"/>
  <c r="H12" i="36"/>
  <c r="H25" i="37"/>
  <c r="J25" i="37"/>
  <c r="F25" i="37"/>
  <c r="J23" i="36"/>
  <c r="F23" i="36"/>
  <c r="BA566" i="3"/>
  <c r="AZ566" i="3" s="1"/>
  <c r="BA565" i="3"/>
  <c r="AZ565" i="3" s="1"/>
  <c r="BL563" i="3"/>
  <c r="AZ563" i="3" s="1"/>
  <c r="BL561" i="3"/>
  <c r="AZ561" i="3" s="1"/>
  <c r="BL560" i="3"/>
  <c r="BA560" i="3"/>
  <c r="AZ560" i="3" s="1"/>
  <c r="BL552" i="3"/>
  <c r="AZ552" i="3" s="1"/>
  <c r="BL551" i="3"/>
  <c r="BA551" i="3"/>
  <c r="BL540" i="3"/>
  <c r="BA540" i="3"/>
  <c r="BL538" i="3"/>
  <c r="AZ538" i="3" s="1"/>
  <c r="BA532" i="3"/>
  <c r="AZ532" i="3" s="1"/>
  <c r="BA524" i="3"/>
  <c r="AZ524" i="3" s="1"/>
  <c r="BA512" i="3"/>
  <c r="AZ512" i="3" s="1"/>
  <c r="BA502" i="3"/>
  <c r="AZ502" i="3" s="1"/>
  <c r="BL501" i="3"/>
  <c r="BA501" i="3"/>
  <c r="AZ501" i="3" s="1"/>
  <c r="BA498" i="3"/>
  <c r="AZ498" i="3" s="1"/>
  <c r="BA484" i="3"/>
  <c r="BL483" i="3"/>
  <c r="AZ483" i="3" s="1"/>
  <c r="BT5" i="3"/>
  <c r="G28" i="6" s="1"/>
  <c r="G30" i="6" s="1"/>
  <c r="G31" i="6" s="1"/>
  <c r="BA570" i="3"/>
  <c r="AZ570" i="3" s="1"/>
  <c r="J9" i="33"/>
  <c r="H9" i="33"/>
  <c r="F9" i="33"/>
  <c r="J12" i="33"/>
  <c r="H12" i="33"/>
  <c r="F12" i="33"/>
  <c r="J34" i="35"/>
  <c r="H34" i="35"/>
  <c r="F34" i="35"/>
  <c r="G536" i="3"/>
  <c r="G524" i="3"/>
  <c r="G512" i="3"/>
  <c r="G489" i="3"/>
  <c r="G481" i="3"/>
  <c r="AZ389" i="3"/>
  <c r="AZ400" i="3"/>
  <c r="AZ404" i="3"/>
  <c r="AZ251" i="3"/>
  <c r="AZ271" i="3"/>
  <c r="AZ287" i="3"/>
  <c r="A30" i="51"/>
  <c r="B22" i="63" s="1"/>
  <c r="A30" i="64"/>
  <c r="A2" i="55"/>
  <c r="B55" i="63" s="1"/>
  <c r="AZ411" i="3"/>
  <c r="AZ413" i="3"/>
  <c r="AZ417" i="3"/>
  <c r="AZ432" i="3"/>
  <c r="AZ437" i="3"/>
  <c r="AZ457" i="3"/>
  <c r="AZ470" i="3"/>
  <c r="AZ473" i="3"/>
  <c r="AZ318" i="3"/>
  <c r="AZ334" i="3"/>
  <c r="AZ350" i="3"/>
  <c r="AZ208" i="3"/>
  <c r="AZ211" i="3"/>
  <c r="AZ224" i="3"/>
  <c r="AZ227" i="3"/>
  <c r="AZ240" i="3"/>
  <c r="AZ243" i="3"/>
  <c r="AZ256" i="3"/>
  <c r="AZ259" i="3"/>
  <c r="AZ275" i="3"/>
  <c r="AZ279" i="3"/>
  <c r="AZ291" i="3"/>
  <c r="D44" i="59"/>
  <c r="T44" i="59"/>
  <c r="AZ113" i="3"/>
  <c r="AZ116" i="3"/>
  <c r="AZ129" i="3"/>
  <c r="AZ132" i="3"/>
  <c r="AZ145" i="3"/>
  <c r="AZ148" i="3"/>
  <c r="AZ21" i="3"/>
  <c r="AZ25" i="3"/>
  <c r="AZ28" i="3"/>
  <c r="AZ30" i="3"/>
  <c r="AZ34" i="3"/>
  <c r="AZ45" i="3"/>
  <c r="AZ49" i="3"/>
  <c r="AZ52" i="3"/>
  <c r="AZ54" i="3"/>
  <c r="AZ58" i="3"/>
  <c r="AZ67" i="3"/>
  <c r="AZ73" i="3"/>
  <c r="AZ76" i="3"/>
  <c r="AZ83" i="3"/>
  <c r="AZ87" i="3"/>
  <c r="AZ93" i="3"/>
  <c r="AZ96" i="3"/>
  <c r="AZ103" i="3"/>
  <c r="AZ109" i="3"/>
  <c r="I21" i="57"/>
  <c r="D1" i="57" s="1"/>
  <c r="E10" i="57" s="1"/>
  <c r="C52" i="59"/>
  <c r="D30" i="59"/>
  <c r="E22" i="59"/>
  <c r="E23" i="59" s="1"/>
  <c r="E24" i="59" s="1"/>
  <c r="U24" i="59" s="1"/>
  <c r="AB20" i="59"/>
  <c r="Y19" i="59"/>
  <c r="Z19" i="59" s="1"/>
  <c r="AA17" i="59"/>
  <c r="X18" i="59"/>
  <c r="X21" i="59"/>
  <c r="AB21" i="59"/>
  <c r="F22" i="59"/>
  <c r="F23" i="59" s="1"/>
  <c r="F24" i="59" s="1"/>
  <c r="V24" i="59" s="1"/>
  <c r="AB3" i="59"/>
  <c r="AB18" i="59"/>
  <c r="Y22" i="59"/>
  <c r="Z22" i="59" s="1"/>
  <c r="AB22" i="59"/>
  <c r="Y23" i="59"/>
  <c r="Z23" i="59" s="1"/>
  <c r="AB23" i="59"/>
  <c r="Y24" i="59"/>
  <c r="Z24" i="59" s="1"/>
  <c r="AB24" i="59"/>
  <c r="X25" i="59"/>
  <c r="B26" i="59"/>
  <c r="B27" i="59" s="1"/>
  <c r="B28" i="59" s="1"/>
  <c r="S28" i="59" s="1"/>
  <c r="AB25" i="59"/>
  <c r="AB27" i="59"/>
  <c r="X29" i="59"/>
  <c r="AB29" i="59"/>
  <c r="F30" i="59"/>
  <c r="F31" i="59" s="1"/>
  <c r="F32" i="59" s="1"/>
  <c r="V32" i="59" s="1"/>
  <c r="AB30" i="59"/>
  <c r="C39" i="59"/>
  <c r="D39" i="59" s="1"/>
  <c r="D38" i="59"/>
  <c r="O60" i="59"/>
  <c r="C59" i="59"/>
  <c r="D76" i="59"/>
  <c r="C75" i="59"/>
  <c r="B54" i="46"/>
  <c r="C27" i="40"/>
  <c r="S27" i="40"/>
  <c r="S21" i="34"/>
  <c r="Y25" i="59"/>
  <c r="Z25" i="59" s="1"/>
  <c r="C26" i="59"/>
  <c r="AA29" i="59"/>
  <c r="E30" i="59"/>
  <c r="E31" i="59" s="1"/>
  <c r="E32" i="59" s="1"/>
  <c r="U32" i="59" s="1"/>
  <c r="T64" i="59"/>
  <c r="C63" i="59"/>
  <c r="T72" i="59"/>
  <c r="C71" i="59"/>
  <c r="B20" i="59"/>
  <c r="X17" i="59"/>
  <c r="X19" i="59"/>
  <c r="E20" i="59"/>
  <c r="AA3" i="59"/>
  <c r="AA18" i="59"/>
  <c r="AA20" i="59"/>
  <c r="Y21" i="59"/>
  <c r="Z21" i="59" s="1"/>
  <c r="X22" i="59"/>
  <c r="AA23" i="59"/>
  <c r="X24" i="59"/>
  <c r="AA25" i="59"/>
  <c r="AB26" i="59"/>
  <c r="Y27" i="59"/>
  <c r="Z27" i="59" s="1"/>
  <c r="AB28" i="59"/>
  <c r="Y29" i="59"/>
  <c r="Z29" i="59" s="1"/>
  <c r="Y16" i="59"/>
  <c r="Z16" i="59" s="1"/>
  <c r="C20" i="59"/>
  <c r="AB16" i="59"/>
  <c r="F20" i="59"/>
  <c r="U16" i="59"/>
  <c r="X15" i="59"/>
  <c r="AA15" i="59"/>
  <c r="AA13" i="59"/>
  <c r="X10" i="59"/>
  <c r="AA10" i="59"/>
  <c r="X6" i="59"/>
  <c r="AA5" i="59"/>
  <c r="A28" i="64"/>
  <c r="Y15" i="59"/>
  <c r="Z15" i="59" s="1"/>
  <c r="AB15" i="59"/>
  <c r="X13" i="59"/>
  <c r="Y10" i="59"/>
  <c r="Z10" i="59" s="1"/>
  <c r="AB10" i="59"/>
  <c r="X9" i="59"/>
  <c r="Y9" i="59"/>
  <c r="Z9" i="59" s="1"/>
  <c r="AA9" i="59"/>
  <c r="AB9" i="59"/>
  <c r="Y6" i="59"/>
  <c r="Z6" i="59" s="1"/>
  <c r="X16" i="59"/>
  <c r="AB7" i="59"/>
  <c r="AB5" i="59"/>
  <c r="Y5" i="59"/>
  <c r="Z5" i="59" s="1"/>
  <c r="X5" i="59"/>
  <c r="AA7" i="59"/>
  <c r="X8" i="59"/>
  <c r="AB6" i="59"/>
  <c r="AA6" i="59"/>
  <c r="C18" i="11"/>
  <c r="K77" i="9"/>
  <c r="K79" i="9" s="1"/>
  <c r="K81" i="9" s="1"/>
  <c r="E12" i="52"/>
  <c r="B15" i="52"/>
  <c r="F31" i="15"/>
  <c r="F33" i="44"/>
  <c r="E8" i="59"/>
  <c r="B8" i="59"/>
  <c r="X7" i="59"/>
  <c r="Y7" i="59"/>
  <c r="Z7" i="59" s="1"/>
  <c r="B4" i="52"/>
  <c r="B7" i="52"/>
  <c r="E14" i="52"/>
  <c r="E6" i="52"/>
  <c r="E11" i="52"/>
  <c r="E4" i="4" s="1"/>
  <c r="B21" i="55" s="1"/>
  <c r="B72" i="63" s="1"/>
  <c r="E9" i="52"/>
  <c r="E7" i="52"/>
  <c r="B9" i="52"/>
  <c r="E4" i="52"/>
  <c r="E13" i="52"/>
  <c r="B8" i="52"/>
  <c r="E10" i="52"/>
  <c r="B10" i="52"/>
  <c r="B6" i="52"/>
  <c r="B5" i="52"/>
  <c r="B11" i="52"/>
  <c r="B12" i="52"/>
  <c r="E8" i="52"/>
  <c r="B14" i="52"/>
  <c r="E5" i="52"/>
  <c r="Y3" i="59"/>
  <c r="Z3" i="59" s="1"/>
  <c r="AB8" i="59"/>
  <c r="AA8" i="59"/>
  <c r="Y8" i="59"/>
  <c r="Z8" i="59" s="1"/>
  <c r="P22" i="46"/>
  <c r="P24" i="46"/>
  <c r="B68" i="40" s="1"/>
  <c r="P23" i="46"/>
  <c r="P25" i="46"/>
  <c r="B73" i="39" s="1"/>
  <c r="P21" i="46"/>
  <c r="E20"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2" i="65"/>
  <c r="C18" i="44"/>
  <c r="C16" i="15"/>
  <c r="E3" i="65"/>
  <c r="C17" i="15"/>
  <c r="F58" i="59" l="1"/>
  <c r="Q59" i="59"/>
  <c r="C56" i="59"/>
  <c r="D55" i="59"/>
  <c r="P57" i="59"/>
  <c r="P58" i="59"/>
  <c r="AA21" i="21"/>
  <c r="S21" i="21"/>
  <c r="AZ505" i="3"/>
  <c r="AA26" i="37"/>
  <c r="S26" i="37"/>
  <c r="W36" i="21"/>
  <c r="AC36" i="21"/>
  <c r="S43" i="39"/>
  <c r="AA43" i="39"/>
  <c r="L19" i="6"/>
  <c r="L27" i="6" s="1"/>
  <c r="D79" i="59"/>
  <c r="C78" i="59"/>
  <c r="D78" i="59" s="1"/>
  <c r="K17" i="4"/>
  <c r="A22" i="51" s="1"/>
  <c r="B16" i="63" s="1"/>
  <c r="D48" i="59"/>
  <c r="T48" i="59"/>
  <c r="D32" i="59"/>
  <c r="T32" i="59"/>
  <c r="C24" i="59"/>
  <c r="D23" i="59"/>
  <c r="AA9" i="35"/>
  <c r="S9" i="35"/>
  <c r="U45" i="21"/>
  <c r="AB45" i="21"/>
  <c r="AC33" i="39"/>
  <c r="S31" i="39"/>
  <c r="U37" i="21"/>
  <c r="AB37" i="21"/>
  <c r="W37" i="21"/>
  <c r="AC37" i="21"/>
  <c r="S37" i="21"/>
  <c r="AA37" i="21"/>
  <c r="AC28" i="21"/>
  <c r="W28" i="21"/>
  <c r="W30" i="21"/>
  <c r="AC30" i="21"/>
  <c r="S30" i="21"/>
  <c r="AA30" i="21"/>
  <c r="U12" i="21"/>
  <c r="AB12" i="21"/>
  <c r="AA23" i="21"/>
  <c r="S23" i="21"/>
  <c r="AB19" i="21"/>
  <c r="U19" i="21"/>
  <c r="S15" i="21"/>
  <c r="AA15" i="21"/>
  <c r="W19" i="21"/>
  <c r="AC19" i="21"/>
  <c r="AB15" i="21"/>
  <c r="U15" i="21"/>
  <c r="W15" i="21"/>
  <c r="AC15" i="21"/>
  <c r="U33" i="39"/>
  <c r="AB33" i="39"/>
  <c r="S33" i="39"/>
  <c r="AA33" i="39"/>
  <c r="AA29" i="39"/>
  <c r="S29" i="39"/>
  <c r="U29" i="39"/>
  <c r="AB29" i="39"/>
  <c r="W37" i="39"/>
  <c r="AC37" i="39"/>
  <c r="M43" i="9"/>
  <c r="D18" i="9"/>
  <c r="M44" i="9" s="1"/>
  <c r="O6" i="1"/>
  <c r="P6" i="1" s="1"/>
  <c r="C15" i="12" s="1"/>
  <c r="C15" i="43"/>
  <c r="M103" i="46"/>
  <c r="M102" i="46"/>
  <c r="K104" i="46"/>
  <c r="C104" i="46"/>
  <c r="C106" i="46"/>
  <c r="C107" i="46"/>
  <c r="C102" i="46"/>
  <c r="E8" i="6"/>
  <c r="E5" i="6"/>
  <c r="M109" i="46"/>
  <c r="M106" i="46"/>
  <c r="J109" i="46"/>
  <c r="E105" i="46"/>
  <c r="G107" i="46"/>
  <c r="E109" i="46"/>
  <c r="E106" i="46"/>
  <c r="E103" i="46"/>
  <c r="N103" i="46"/>
  <c r="K102" i="46"/>
  <c r="D113" i="46"/>
  <c r="F24" i="43"/>
  <c r="C26" i="43" s="1"/>
  <c r="D24" i="43" s="1"/>
  <c r="F33" i="12"/>
  <c r="C34" i="12" s="1"/>
  <c r="D33" i="12" s="1"/>
  <c r="L102" i="46"/>
  <c r="L106" i="46"/>
  <c r="L107" i="46"/>
  <c r="L105" i="46"/>
  <c r="L109" i="46"/>
  <c r="M107" i="46"/>
  <c r="M104" i="46"/>
  <c r="G106" i="46"/>
  <c r="G103" i="46"/>
  <c r="G105" i="46"/>
  <c r="G102" i="46"/>
  <c r="G109" i="46"/>
  <c r="K107" i="46"/>
  <c r="K106" i="46"/>
  <c r="K103" i="46"/>
  <c r="K105" i="46"/>
  <c r="H103" i="46"/>
  <c r="H107" i="46"/>
  <c r="H109" i="46"/>
  <c r="H106" i="46"/>
  <c r="H102" i="46"/>
  <c r="H105" i="46"/>
  <c r="H104" i="46"/>
  <c r="F109" i="46"/>
  <c r="F102" i="46"/>
  <c r="F103" i="46"/>
  <c r="F106" i="46"/>
  <c r="F107" i="46"/>
  <c r="F104" i="46"/>
  <c r="F105" i="46"/>
  <c r="I102" i="46"/>
  <c r="I109" i="46"/>
  <c r="I104" i="46"/>
  <c r="I103" i="46"/>
  <c r="I107" i="46"/>
  <c r="J106" i="46"/>
  <c r="J102" i="46"/>
  <c r="J107" i="46"/>
  <c r="J103" i="46"/>
  <c r="D22" i="46"/>
  <c r="C21" i="46" s="1"/>
  <c r="I105" i="46"/>
  <c r="J105" i="46"/>
  <c r="D107" i="46"/>
  <c r="D102" i="46"/>
  <c r="D105" i="46"/>
  <c r="D104" i="46"/>
  <c r="D106" i="46"/>
  <c r="D103" i="46"/>
  <c r="D109" i="46"/>
  <c r="N105" i="46"/>
  <c r="N102" i="46"/>
  <c r="N107" i="46"/>
  <c r="N106" i="46"/>
  <c r="A3" i="55"/>
  <c r="B56" i="63" s="1"/>
  <c r="A25" i="51"/>
  <c r="B18" i="63" s="1"/>
  <c r="A17" i="51"/>
  <c r="B13" i="63" s="1"/>
  <c r="H12" i="39"/>
  <c r="U12" i="39" s="1"/>
  <c r="H12" i="40"/>
  <c r="AB12" i="40" s="1"/>
  <c r="F12" i="40"/>
  <c r="S12" i="40" s="1"/>
  <c r="J12" i="40"/>
  <c r="W12" i="40" s="1"/>
  <c r="A9" i="51"/>
  <c r="B9" i="63" s="1"/>
  <c r="A9" i="64"/>
  <c r="C4" i="4"/>
  <c r="B20" i="55" s="1"/>
  <c r="B70" i="63" s="1"/>
  <c r="F70" i="39"/>
  <c r="E72" i="39"/>
  <c r="J7" i="21"/>
  <c r="W7" i="21" s="1"/>
  <c r="J7" i="34"/>
  <c r="AC7" i="34" s="1"/>
  <c r="V49" i="34" s="1"/>
  <c r="I49" i="34" s="1"/>
  <c r="F12" i="39"/>
  <c r="AA12" i="39" s="1"/>
  <c r="J12" i="39"/>
  <c r="AC12" i="39" s="1"/>
  <c r="F7" i="37"/>
  <c r="H7" i="34"/>
  <c r="U7" i="34" s="1"/>
  <c r="F7" i="34"/>
  <c r="B7" i="59"/>
  <c r="B6" i="59" s="1"/>
  <c r="B5" i="59" s="1"/>
  <c r="S8" i="59"/>
  <c r="V20" i="59"/>
  <c r="F19" i="59"/>
  <c r="F18" i="59" s="1"/>
  <c r="D20" i="59"/>
  <c r="T20" i="59"/>
  <c r="C19" i="59"/>
  <c r="U20" i="59"/>
  <c r="E19" i="59"/>
  <c r="E18" i="59" s="1"/>
  <c r="C70" i="59"/>
  <c r="D70" i="59" s="1"/>
  <c r="D71" i="59"/>
  <c r="D63" i="59"/>
  <c r="C62" i="59"/>
  <c r="D62" i="59" s="1"/>
  <c r="D26" i="59"/>
  <c r="C27" i="59"/>
  <c r="D75" i="59"/>
  <c r="C74" i="59"/>
  <c r="D74" i="59" s="1"/>
  <c r="O59" i="59"/>
  <c r="C58" i="59"/>
  <c r="D59" i="59"/>
  <c r="AB34" i="35"/>
  <c r="U34" i="35"/>
  <c r="S12" i="33"/>
  <c r="AA12" i="33"/>
  <c r="W12" i="33"/>
  <c r="AC12" i="33"/>
  <c r="AB9" i="33"/>
  <c r="U9" i="33"/>
  <c r="AZ540" i="3"/>
  <c r="AZ551" i="3"/>
  <c r="AC23" i="36"/>
  <c r="W23" i="36"/>
  <c r="W25" i="37"/>
  <c r="AC25" i="37"/>
  <c r="U12" i="36"/>
  <c r="AB12" i="36"/>
  <c r="AC28" i="33"/>
  <c r="W28" i="33"/>
  <c r="AC9" i="21"/>
  <c r="W9" i="21"/>
  <c r="E14" i="6"/>
  <c r="E13" i="6"/>
  <c r="E10" i="6"/>
  <c r="E15" i="6"/>
  <c r="E12" i="6"/>
  <c r="E11" i="6"/>
  <c r="AC41" i="40"/>
  <c r="W41" i="40"/>
  <c r="AC26" i="33"/>
  <c r="W26" i="33"/>
  <c r="B20" i="31"/>
  <c r="R22" i="31"/>
  <c r="B21" i="31" s="1"/>
  <c r="AC7" i="33"/>
  <c r="V48" i="33" s="1"/>
  <c r="I48" i="33" s="1"/>
  <c r="W7" i="33"/>
  <c r="AA7" i="21"/>
  <c r="S7" i="21"/>
  <c r="AC7" i="35"/>
  <c r="V38" i="35" s="1"/>
  <c r="I38" i="35" s="1"/>
  <c r="W7" i="35"/>
  <c r="S11" i="35"/>
  <c r="AA11" i="35"/>
  <c r="U12" i="35"/>
  <c r="AB12" i="35"/>
  <c r="U44" i="33"/>
  <c r="AB44" i="33"/>
  <c r="AZ572" i="3"/>
  <c r="F30" i="6"/>
  <c r="E28" i="6"/>
  <c r="H7" i="21"/>
  <c r="F67" i="40"/>
  <c r="G65" i="40"/>
  <c r="F7" i="35"/>
  <c r="AC12" i="40"/>
  <c r="AB7" i="36"/>
  <c r="T36" i="36" s="1"/>
  <c r="G36" i="36" s="1"/>
  <c r="U7" i="36"/>
  <c r="W7" i="37"/>
  <c r="AC7" i="37"/>
  <c r="V42" i="37" s="1"/>
  <c r="I42" i="37" s="1"/>
  <c r="E7" i="59"/>
  <c r="E6" i="59" s="1"/>
  <c r="E5" i="59" s="1"/>
  <c r="U8" i="59"/>
  <c r="B19" i="59"/>
  <c r="B18" i="59" s="1"/>
  <c r="S20" i="59"/>
  <c r="D52" i="59"/>
  <c r="T52" i="59"/>
  <c r="AA34" i="35"/>
  <c r="S34" i="35"/>
  <c r="AC34" i="35"/>
  <c r="W34" i="35"/>
  <c r="U12" i="33"/>
  <c r="AB12" i="33"/>
  <c r="AA9" i="33"/>
  <c r="S9" i="33"/>
  <c r="W9" i="33"/>
  <c r="AC9" i="33"/>
  <c r="AZ484" i="3"/>
  <c r="BA5" i="3"/>
  <c r="AA23" i="36"/>
  <c r="S23" i="36"/>
  <c r="AA25" i="37"/>
  <c r="S25" i="37"/>
  <c r="U25" i="37"/>
  <c r="AB25" i="37"/>
  <c r="AC12" i="36"/>
  <c r="W12" i="36"/>
  <c r="AA28" i="33"/>
  <c r="S28" i="33"/>
  <c r="S9" i="21"/>
  <c r="AA9" i="21"/>
  <c r="S41" i="40"/>
  <c r="AA41" i="40"/>
  <c r="U26" i="35"/>
  <c r="AB26" i="35"/>
  <c r="U26" i="33"/>
  <c r="AB26" i="33"/>
  <c r="G5" i="3"/>
  <c r="B3" i="3" s="1"/>
  <c r="E512" i="3" s="1"/>
  <c r="BL5" i="3"/>
  <c r="AA7" i="33"/>
  <c r="R48" i="33" s="1"/>
  <c r="S7" i="33"/>
  <c r="D13" i="59"/>
  <c r="C12" i="59"/>
  <c r="W7" i="34"/>
  <c r="U7" i="35"/>
  <c r="AB7" i="35"/>
  <c r="T38" i="35" s="1"/>
  <c r="G38" i="35" s="1"/>
  <c r="AB7" i="37"/>
  <c r="T42" i="37" s="1"/>
  <c r="G42" i="37" s="1"/>
  <c r="U7" i="37"/>
  <c r="W11" i="35"/>
  <c r="AC11" i="35"/>
  <c r="W12" i="35"/>
  <c r="AC12" i="35"/>
  <c r="S44" i="33"/>
  <c r="AA44" i="33"/>
  <c r="AB7" i="33"/>
  <c r="T48" i="33" s="1"/>
  <c r="G48" i="33" s="1"/>
  <c r="U7" i="33"/>
  <c r="F7" i="59"/>
  <c r="F6" i="59" s="1"/>
  <c r="F5" i="59" s="1"/>
  <c r="V8" i="59"/>
  <c r="W7" i="36"/>
  <c r="AC7" i="36"/>
  <c r="V36" i="36" s="1"/>
  <c r="I36" i="36" s="1"/>
  <c r="S7" i="36"/>
  <c r="AA7" i="36"/>
  <c r="R36" i="36" s="1"/>
  <c r="AA7" i="37"/>
  <c r="R42" i="37" s="1"/>
  <c r="S7" i="37"/>
  <c r="AB7" i="34"/>
  <c r="T49" i="34" s="1"/>
  <c r="G49" i="34" s="1"/>
  <c r="S7" i="34"/>
  <c r="AA7" i="34"/>
  <c r="R49" i="34" s="1"/>
  <c r="M19" i="44"/>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Z5" i="3" l="1"/>
  <c r="D24" i="59"/>
  <c r="T24" i="59"/>
  <c r="D56" i="59"/>
  <c r="T56" i="59"/>
  <c r="Q58" i="59"/>
  <c r="Q57" i="59"/>
  <c r="AC7" i="21"/>
  <c r="S12" i="39"/>
  <c r="U12" i="40"/>
  <c r="D12" i="11"/>
  <c r="C12" i="11" s="1"/>
  <c r="D21" i="12"/>
  <c r="C21" i="12" s="1"/>
  <c r="AB12" i="39"/>
  <c r="E53" i="40"/>
  <c r="F27" i="6"/>
  <c r="E58" i="39"/>
  <c r="E524" i="3"/>
  <c r="AA12" i="40"/>
  <c r="W12" i="39"/>
  <c r="F72" i="39"/>
  <c r="G70" i="39"/>
  <c r="AY6" i="3"/>
  <c r="E3" i="6"/>
  <c r="G54" i="34"/>
  <c r="H54" i="34" s="1"/>
  <c r="G53" i="34"/>
  <c r="H53" i="34" s="1"/>
  <c r="R37" i="36"/>
  <c r="E36" i="36"/>
  <c r="I40" i="36"/>
  <c r="J40" i="36" s="1"/>
  <c r="I41" i="36"/>
  <c r="J41" i="36" s="1"/>
  <c r="G52" i="33"/>
  <c r="H52" i="33" s="1"/>
  <c r="G53" i="33"/>
  <c r="H53" i="33" s="1"/>
  <c r="G46" i="37"/>
  <c r="H46" i="37" s="1"/>
  <c r="G47" i="37"/>
  <c r="H47" i="37" s="1"/>
  <c r="R49" i="33"/>
  <c r="E48" i="33"/>
  <c r="I46" i="37"/>
  <c r="J46" i="37" s="1"/>
  <c r="AA7" i="35"/>
  <c r="R38" i="35" s="1"/>
  <c r="S7" i="35"/>
  <c r="E30" i="6"/>
  <c r="K14" i="1"/>
  <c r="I42" i="35"/>
  <c r="J42" i="35" s="1"/>
  <c r="I52" i="33"/>
  <c r="J52" i="33" s="1"/>
  <c r="I53" i="33"/>
  <c r="J53" i="33" s="1"/>
  <c r="E506" i="3"/>
  <c r="E64" i="39"/>
  <c r="E59" i="40"/>
  <c r="E16" i="6"/>
  <c r="E61" i="40"/>
  <c r="E66" i="39"/>
  <c r="R50" i="34"/>
  <c r="E49" i="34"/>
  <c r="R43" i="37"/>
  <c r="E42" i="37"/>
  <c r="G42" i="35"/>
  <c r="H42" i="35" s="1"/>
  <c r="G43" i="35"/>
  <c r="H43" i="35" s="1"/>
  <c r="I53" i="34"/>
  <c r="J53" i="34" s="1"/>
  <c r="I54" i="34"/>
  <c r="J54" i="34" s="1"/>
  <c r="C11" i="59"/>
  <c r="T12" i="59"/>
  <c r="D12" i="59"/>
  <c r="E283" i="3"/>
  <c r="E23" i="3"/>
  <c r="E535" i="3"/>
  <c r="E443" i="3"/>
  <c r="E156" i="3"/>
  <c r="E265" i="3"/>
  <c r="E381" i="3"/>
  <c r="E49" i="3"/>
  <c r="E427" i="3"/>
  <c r="E78" i="3"/>
  <c r="E193" i="3"/>
  <c r="E337" i="3"/>
  <c r="E278" i="3"/>
  <c r="E390" i="3"/>
  <c r="E104" i="3"/>
  <c r="E158" i="3"/>
  <c r="E94" i="3"/>
  <c r="E296" i="3"/>
  <c r="E36" i="3"/>
  <c r="E149" i="3"/>
  <c r="E131" i="3"/>
  <c r="E295" i="3"/>
  <c r="E237" i="3"/>
  <c r="E249" i="3"/>
  <c r="E89" i="3"/>
  <c r="E428" i="3"/>
  <c r="E549" i="3"/>
  <c r="E165" i="3"/>
  <c r="E201" i="3"/>
  <c r="E100" i="3"/>
  <c r="E460" i="3"/>
  <c r="E404" i="3"/>
  <c r="E170" i="3"/>
  <c r="E374" i="3"/>
  <c r="I3" i="6"/>
  <c r="E30" i="3"/>
  <c r="E274" i="3"/>
  <c r="E223" i="3"/>
  <c r="E463" i="3"/>
  <c r="E297" i="3"/>
  <c r="E411" i="3"/>
  <c r="E250" i="3"/>
  <c r="AN6" i="3"/>
  <c r="E280" i="3"/>
  <c r="E59" i="3"/>
  <c r="E270" i="3"/>
  <c r="E464" i="3"/>
  <c r="E157" i="3"/>
  <c r="E209" i="3"/>
  <c r="E161" i="3"/>
  <c r="E450" i="3"/>
  <c r="E534" i="3"/>
  <c r="E376" i="3"/>
  <c r="E387" i="3"/>
  <c r="E294" i="3"/>
  <c r="R6" i="3"/>
  <c r="E21" i="3"/>
  <c r="E125" i="3"/>
  <c r="E64" i="3"/>
  <c r="AH6" i="3"/>
  <c r="E140" i="3"/>
  <c r="P6" i="3"/>
  <c r="E34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395" i="3"/>
  <c r="E41" i="3"/>
  <c r="E471" i="3"/>
  <c r="E418" i="3"/>
  <c r="E408" i="3"/>
  <c r="E92" i="3"/>
  <c r="E238" i="3"/>
  <c r="E414" i="3"/>
  <c r="E44" i="3"/>
  <c r="E202" i="3"/>
  <c r="E472" i="3"/>
  <c r="E187" i="3"/>
  <c r="E253" i="3"/>
  <c r="E225" i="3"/>
  <c r="E537" i="3"/>
  <c r="E199" i="3"/>
  <c r="E54" i="3"/>
  <c r="E423" i="3"/>
  <c r="E452" i="3"/>
  <c r="E435" i="3"/>
  <c r="E21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194" i="3"/>
  <c r="AM6" i="3"/>
  <c r="E304" i="3"/>
  <c r="E561" i="3"/>
  <c r="E492" i="3"/>
  <c r="E489" i="3"/>
  <c r="G41" i="36"/>
  <c r="H41" i="36" s="1"/>
  <c r="G40" i="36"/>
  <c r="H40" i="36" s="1"/>
  <c r="H65" i="40"/>
  <c r="G67" i="40"/>
  <c r="U7" i="21"/>
  <c r="AB7" i="21"/>
  <c r="E63" i="39"/>
  <c r="E58" i="40"/>
  <c r="E67" i="39"/>
  <c r="E62" i="40"/>
  <c r="E60" i="40"/>
  <c r="E65" i="39"/>
  <c r="E536" i="3"/>
  <c r="E481" i="3"/>
  <c r="D58" i="59"/>
  <c r="O58" i="59"/>
  <c r="O57" i="59"/>
  <c r="C28" i="59"/>
  <c r="D27" i="59"/>
  <c r="C18" i="59"/>
  <c r="D18" i="59" s="1"/>
  <c r="D19"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E27" i="6" l="1"/>
  <c r="C33" i="21"/>
  <c r="G39" i="46"/>
  <c r="I39" i="46" s="1"/>
  <c r="AC6" i="3"/>
  <c r="E6" i="3" s="1"/>
  <c r="E38" i="46"/>
  <c r="E37" i="46"/>
  <c r="K19" i="6"/>
  <c r="S6" i="1" s="1"/>
  <c r="S16" i="1" s="1"/>
  <c r="K24" i="6"/>
  <c r="M24" i="6" s="1"/>
  <c r="I24" i="6" s="1"/>
  <c r="S24" i="6" s="1"/>
  <c r="K25" i="6"/>
  <c r="M25" i="6" s="1"/>
  <c r="I25" i="6" s="1"/>
  <c r="S25" i="6" s="1"/>
  <c r="K20" i="6"/>
  <c r="M20" i="6" s="1"/>
  <c r="I20" i="6" s="1"/>
  <c r="S20" i="6" s="1"/>
  <c r="K26" i="6"/>
  <c r="M26" i="6" s="1"/>
  <c r="I26" i="6" s="1"/>
  <c r="S26" i="6" s="1"/>
  <c r="K22" i="6"/>
  <c r="M22" i="6" s="1"/>
  <c r="I22" i="6" s="1"/>
  <c r="S22" i="6" s="1"/>
  <c r="K23" i="6"/>
  <c r="M23" i="6" s="1"/>
  <c r="I23" i="6" s="1"/>
  <c r="S23" i="6" s="1"/>
  <c r="K21" i="6"/>
  <c r="M21" i="6" s="1"/>
  <c r="I21" i="6" s="1"/>
  <c r="S21" i="6" s="1"/>
  <c r="H6" i="3"/>
  <c r="E31" i="6"/>
  <c r="F31" i="6"/>
  <c r="H70" i="39"/>
  <c r="G72" i="39"/>
  <c r="G33" i="46"/>
  <c r="I33" i="46" s="1"/>
  <c r="C27" i="46" s="1"/>
  <c r="E35" i="46"/>
  <c r="E36" i="46"/>
  <c r="D28" i="59"/>
  <c r="T28" i="59"/>
  <c r="C10" i="59"/>
  <c r="D11" i="59"/>
  <c r="C43" i="37"/>
  <c r="B3" i="37" s="1"/>
  <c r="B2" i="37" s="1"/>
  <c r="C42" i="37"/>
  <c r="C49" i="34"/>
  <c r="C50" i="34"/>
  <c r="B3" i="34" s="1"/>
  <c r="B2" i="34" s="1"/>
  <c r="K16" i="1"/>
  <c r="M14" i="1"/>
  <c r="R39" i="35"/>
  <c r="E38" i="35"/>
  <c r="C49" i="33"/>
  <c r="B3" i="33" s="1"/>
  <c r="B2" i="33" s="1"/>
  <c r="C48" i="33"/>
  <c r="C36" i="36"/>
  <c r="C37" i="36"/>
  <c r="B3" i="36" s="1"/>
  <c r="B2" i="36" s="1"/>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7" i="40"/>
  <c r="I65" i="40"/>
  <c r="E47" i="37"/>
  <c r="F47" i="37" s="1"/>
  <c r="E46" i="37"/>
  <c r="F46" i="37" s="1"/>
  <c r="E54" i="34"/>
  <c r="F54" i="34" s="1"/>
  <c r="E53" i="34"/>
  <c r="F53" i="34" s="1"/>
  <c r="M19" i="6"/>
  <c r="I47" i="37"/>
  <c r="J47" i="37" s="1"/>
  <c r="E52" i="33"/>
  <c r="F52" i="33" s="1"/>
  <c r="E53" i="33"/>
  <c r="F53" i="33" s="1"/>
  <c r="E40" i="36"/>
  <c r="F40" i="36" s="1"/>
  <c r="E41" i="36"/>
  <c r="F41" i="36" s="1"/>
  <c r="D16" i="43"/>
  <c r="C16" i="43" s="1"/>
  <c r="E6" i="6"/>
  <c r="L38" i="9"/>
  <c r="B14" i="66" s="1"/>
  <c r="B1" i="66" s="1"/>
  <c r="D45" i="9"/>
  <c r="C21" i="4"/>
  <c r="O5" i="54" s="1"/>
  <c r="B45" i="63" s="1"/>
  <c r="D16" i="12"/>
  <c r="D46" i="9"/>
  <c r="E29" i="46"/>
  <c r="C65" i="15"/>
  <c r="C59" i="15"/>
  <c r="B3" i="11"/>
  <c r="C27" i="12"/>
  <c r="D26" i="12" s="1"/>
  <c r="C32" i="12" s="1"/>
  <c r="D30" i="12" s="1"/>
  <c r="J26" i="15"/>
  <c r="J29" i="15" s="1"/>
  <c r="J24" i="15"/>
  <c r="C38" i="15"/>
  <c r="Q58" i="44"/>
  <c r="Q67" i="44"/>
  <c r="Q49" i="44"/>
  <c r="Q55" i="44" s="1"/>
  <c r="F7" i="67"/>
  <c r="H33" i="21" l="1"/>
  <c r="J33" i="21"/>
  <c r="F33" i="21"/>
  <c r="K27" i="6"/>
  <c r="B4" i="11"/>
  <c r="H72" i="39"/>
  <c r="I70" i="39"/>
  <c r="D19" i="12"/>
  <c r="C19" i="12" s="1"/>
  <c r="C16" i="12"/>
  <c r="C8" i="66"/>
  <c r="C7" i="66"/>
  <c r="M27" i="6"/>
  <c r="I19" i="6"/>
  <c r="H19" i="6" s="1"/>
  <c r="E43" i="35"/>
  <c r="F43" i="35" s="1"/>
  <c r="E42" i="35"/>
  <c r="F42" i="35" s="1"/>
  <c r="I43" i="35"/>
  <c r="J43" i="35" s="1"/>
  <c r="C9" i="59"/>
  <c r="D10" i="59"/>
  <c r="D13" i="11"/>
  <c r="C13" i="11" s="1"/>
  <c r="D22" i="12"/>
  <c r="C22" i="12" s="1"/>
  <c r="C20" i="12" s="1"/>
  <c r="I67" i="40"/>
  <c r="J65" i="40"/>
  <c r="E63" i="40"/>
  <c r="D19" i="6"/>
  <c r="D25" i="6"/>
  <c r="D13" i="6"/>
  <c r="H24" i="6"/>
  <c r="D23" i="6"/>
  <c r="D28" i="6"/>
  <c r="D8" i="6"/>
  <c r="E45" i="9"/>
  <c r="K38" i="9"/>
  <c r="C14" i="66" s="1"/>
  <c r="B2" i="66" s="1"/>
  <c r="D26" i="6"/>
  <c r="D22" i="6"/>
  <c r="D12" i="6"/>
  <c r="H25" i="6"/>
  <c r="D5" i="6"/>
  <c r="H22" i="6"/>
  <c r="H26" i="6"/>
  <c r="F46" i="9"/>
  <c r="C22" i="4"/>
  <c r="D21" i="6"/>
  <c r="D10" i="6"/>
  <c r="H21" i="6"/>
  <c r="D6" i="6"/>
  <c r="D14" i="6"/>
  <c r="D20" i="6"/>
  <c r="H23" i="6"/>
  <c r="F45" i="9"/>
  <c r="E68" i="39"/>
  <c r="D24" i="6"/>
  <c r="D11" i="6"/>
  <c r="H20" i="6"/>
  <c r="D9" i="6"/>
  <c r="D29" i="6"/>
  <c r="D15" i="6"/>
  <c r="E46" i="9"/>
  <c r="C39" i="35"/>
  <c r="B3" i="35" s="1"/>
  <c r="B2" i="35" s="1"/>
  <c r="C38" i="35"/>
  <c r="T13" i="1"/>
  <c r="T9" i="1"/>
  <c r="T12" i="1"/>
  <c r="O14" i="1"/>
  <c r="O16" i="1" s="1"/>
  <c r="T7" i="1"/>
  <c r="T6" i="1"/>
  <c r="M16" i="1"/>
  <c r="T11" i="1"/>
  <c r="T10" i="1"/>
  <c r="T8" i="1"/>
  <c r="E4" i="67"/>
  <c r="C26" i="46"/>
  <c r="B2" i="46" s="1"/>
  <c r="D77" i="9"/>
  <c r="N75" i="9" s="1"/>
  <c r="C16" i="44"/>
  <c r="C14" i="15"/>
  <c r="B7" i="67"/>
  <c r="E7" i="67"/>
  <c r="D30" i="6" l="1"/>
  <c r="W33" i="21"/>
  <c r="AC33" i="21"/>
  <c r="V48" i="21" s="1"/>
  <c r="I48" i="21" s="1"/>
  <c r="S33" i="21"/>
  <c r="AA33" i="21"/>
  <c r="R48" i="21" s="1"/>
  <c r="U33" i="21"/>
  <c r="AB33" i="21"/>
  <c r="T48" i="21" s="1"/>
  <c r="G48" i="21" s="1"/>
  <c r="H27" i="6"/>
  <c r="D16" i="6"/>
  <c r="R24" i="6"/>
  <c r="T16" i="1"/>
  <c r="P14" i="1"/>
  <c r="P16" i="1" s="1"/>
  <c r="C13" i="12" s="1"/>
  <c r="C14" i="12" s="1"/>
  <c r="J70" i="39"/>
  <c r="I72" i="39"/>
  <c r="C15" i="15"/>
  <c r="C18" i="15"/>
  <c r="C20" i="44"/>
  <c r="C17" i="44"/>
  <c r="R21" i="6"/>
  <c r="R22" i="6"/>
  <c r="D8" i="66"/>
  <c r="D7" i="66"/>
  <c r="R25" i="6"/>
  <c r="C8" i="59"/>
  <c r="D9" i="59"/>
  <c r="L16" i="1"/>
  <c r="N16" i="1"/>
  <c r="C29" i="43" s="1"/>
  <c r="C13" i="43"/>
  <c r="R20" i="6"/>
  <c r="A6" i="51"/>
  <c r="B7" i="63" s="1"/>
  <c r="A6" i="64"/>
  <c r="A20" i="51"/>
  <c r="B15" i="63" s="1"/>
  <c r="N5" i="54"/>
  <c r="B43" i="63" s="1"/>
  <c r="A20" i="64"/>
  <c r="R26" i="6"/>
  <c r="R23" i="6"/>
  <c r="D27" i="6"/>
  <c r="D31" i="6" s="1"/>
  <c r="R19" i="6"/>
  <c r="K65" i="40"/>
  <c r="J67" i="40"/>
  <c r="I27" i="6"/>
  <c r="S19" i="6"/>
  <c r="S27" i="6" s="1"/>
  <c r="E3" i="67"/>
  <c r="B2" i="67"/>
  <c r="D4" i="46"/>
  <c r="B3" i="46"/>
  <c r="B4" i="46"/>
  <c r="G52" i="21" l="1"/>
  <c r="H52" i="21" s="1"/>
  <c r="G53" i="21"/>
  <c r="H53" i="21" s="1"/>
  <c r="E48" i="21"/>
  <c r="R49" i="21"/>
  <c r="I52" i="21"/>
  <c r="J52" i="21" s="1"/>
  <c r="I53" i="21"/>
  <c r="J53" i="21" s="1"/>
  <c r="C17" i="12"/>
  <c r="C18" i="12" s="1"/>
  <c r="C23" i="12" s="1"/>
  <c r="R27" i="6"/>
  <c r="R6" i="1"/>
  <c r="R16" i="1" s="1"/>
  <c r="C21" i="44"/>
  <c r="C22" i="44" s="1"/>
  <c r="C25" i="44" s="1"/>
  <c r="C19" i="15"/>
  <c r="C20" i="15" s="1"/>
  <c r="C26" i="15" s="1"/>
  <c r="J72" i="39"/>
  <c r="K70" i="39"/>
  <c r="L65" i="40"/>
  <c r="K67" i="40"/>
  <c r="I6" i="6"/>
  <c r="I5" i="6"/>
  <c r="C14" i="43"/>
  <c r="C17" i="43"/>
  <c r="C7" i="59"/>
  <c r="T8" i="59"/>
  <c r="D8" i="59"/>
  <c r="B3" i="67"/>
  <c r="B4" i="67"/>
  <c r="C48" i="21" l="1"/>
  <c r="C49" i="21"/>
  <c r="B3" i="21" s="1"/>
  <c r="E52" i="21"/>
  <c r="F52" i="21" s="1"/>
  <c r="E53" i="21"/>
  <c r="F53" i="21" s="1"/>
  <c r="C28" i="44"/>
  <c r="C31" i="44" s="1"/>
  <c r="L70" i="39"/>
  <c r="K72" i="39"/>
  <c r="C23" i="15"/>
  <c r="C29" i="15" s="1"/>
  <c r="C18" i="43"/>
  <c r="C19" i="43" s="1"/>
  <c r="C25" i="43" s="1"/>
  <c r="C24" i="43" s="1"/>
  <c r="D7" i="59"/>
  <c r="C6" i="59"/>
  <c r="L67" i="40"/>
  <c r="M65" i="40"/>
  <c r="B2" i="21" l="1"/>
  <c r="C10" i="12" s="1"/>
  <c r="C6" i="12" s="1"/>
  <c r="C8" i="12"/>
  <c r="J14" i="15"/>
  <c r="J13" i="15" s="1"/>
  <c r="J23" i="15" s="1"/>
  <c r="J59" i="15"/>
  <c r="J60" i="15" s="1"/>
  <c r="L46" i="15" s="1"/>
  <c r="C56" i="15"/>
  <c r="C60" i="15" s="1"/>
  <c r="C58" i="15" s="1"/>
  <c r="Q50" i="15"/>
  <c r="J19" i="15"/>
  <c r="J17" i="15" s="1"/>
  <c r="C15" i="44"/>
  <c r="C43" i="44" s="1"/>
  <c r="Q51" i="44"/>
  <c r="C35" i="44"/>
  <c r="C33" i="44" s="1"/>
  <c r="J16" i="44"/>
  <c r="J15" i="44" s="1"/>
  <c r="J25" i="44" s="1"/>
  <c r="C22" i="43"/>
  <c r="C21" i="43" s="1"/>
  <c r="C28" i="43" s="1"/>
  <c r="C30" i="43" s="1"/>
  <c r="C32" i="43" s="1"/>
  <c r="B2" i="43" s="1"/>
  <c r="B4" i="43" s="1"/>
  <c r="M70" i="39"/>
  <c r="L72" i="39"/>
  <c r="C13" i="15"/>
  <c r="C37" i="15" s="1"/>
  <c r="C33" i="15"/>
  <c r="C31" i="15" s="1"/>
  <c r="C36" i="15"/>
  <c r="J21" i="44"/>
  <c r="J19" i="44" s="1"/>
  <c r="C38" i="44"/>
  <c r="N65" i="40"/>
  <c r="N67" i="40" s="1"/>
  <c r="M67" i="40"/>
  <c r="D6" i="59"/>
  <c r="C5" i="59"/>
  <c r="C29" i="12" l="1"/>
  <c r="C24" i="12"/>
  <c r="J22" i="15"/>
  <c r="J16" i="15" s="1"/>
  <c r="J25" i="15" s="1"/>
  <c r="Q49" i="15"/>
  <c r="C39" i="44"/>
  <c r="C32" i="44" s="1"/>
  <c r="C42" i="44" s="1"/>
  <c r="Q71" i="44" s="1"/>
  <c r="C63" i="15"/>
  <c r="Q72" i="44"/>
  <c r="B5" i="43"/>
  <c r="J35" i="15"/>
  <c r="J24" i="44"/>
  <c r="J18" i="44" s="1"/>
  <c r="J27" i="44" s="1"/>
  <c r="Q71" i="15"/>
  <c r="B3" i="43"/>
  <c r="C30" i="15"/>
  <c r="C39" i="15" s="1"/>
  <c r="C40" i="15" s="1"/>
  <c r="M72" i="39"/>
  <c r="N70" i="39"/>
  <c r="N72" i="39" s="1"/>
  <c r="C55" i="15"/>
  <c r="C64" i="15" s="1"/>
  <c r="D5" i="59"/>
  <c r="M20" i="46"/>
  <c r="F9" i="40"/>
  <c r="J9" i="40"/>
  <c r="H9" i="40"/>
  <c r="C35" i="12" l="1"/>
  <c r="C33" i="12" s="1"/>
  <c r="C28" i="12"/>
  <c r="C26" i="12" s="1"/>
  <c r="C31" i="12" s="1"/>
  <c r="C30" i="12" s="1"/>
  <c r="C57" i="15"/>
  <c r="C66" i="15" s="1"/>
  <c r="C67" i="15" s="1"/>
  <c r="C46" i="15" s="1"/>
  <c r="J39" i="15"/>
  <c r="J40" i="15" s="1"/>
  <c r="Q70" i="15"/>
  <c r="Q69" i="15" s="1"/>
  <c r="C44" i="44"/>
  <c r="C45" i="44" s="1"/>
  <c r="L52" i="44" s="1"/>
  <c r="Q70" i="44"/>
  <c r="J9" i="39"/>
  <c r="F9" i="39"/>
  <c r="H9" i="39"/>
  <c r="AC9" i="40"/>
  <c r="V44" i="40" s="1"/>
  <c r="I44" i="40" s="1"/>
  <c r="I48" i="40" s="1"/>
  <c r="J48" i="40" s="1"/>
  <c r="W9" i="40"/>
  <c r="Q57" i="15"/>
  <c r="J42" i="15"/>
  <c r="J43" i="15" s="1"/>
  <c r="Q48" i="15"/>
  <c r="Q54" i="15" s="1"/>
  <c r="Q66" i="15"/>
  <c r="C43" i="15"/>
  <c r="B2" i="15"/>
  <c r="B3" i="15" s="1"/>
  <c r="U9" i="40"/>
  <c r="AB9" i="40"/>
  <c r="T44" i="40" s="1"/>
  <c r="G44" i="40" s="1"/>
  <c r="S9" i="40"/>
  <c r="AA9" i="40"/>
  <c r="R44" i="40" s="1"/>
  <c r="L51" i="15"/>
  <c r="C36" i="12" l="1"/>
  <c r="B2" i="12" s="1"/>
  <c r="B3" i="12" s="1"/>
  <c r="C70" i="15"/>
  <c r="L57" i="15"/>
  <c r="L60" i="15" s="1"/>
  <c r="Q67" i="15" s="1"/>
  <c r="Q76" i="15" s="1"/>
  <c r="Q68" i="15"/>
  <c r="B2" i="44"/>
  <c r="B3" i="44" s="1"/>
  <c r="S9" i="39"/>
  <c r="AA9" i="39"/>
  <c r="R49" i="39" s="1"/>
  <c r="U9" i="39"/>
  <c r="AB9" i="39"/>
  <c r="T49" i="39" s="1"/>
  <c r="G49" i="39" s="1"/>
  <c r="W9" i="39"/>
  <c r="AC9" i="39"/>
  <c r="V49" i="39" s="1"/>
  <c r="I49" i="39" s="1"/>
  <c r="I53" i="39" s="1"/>
  <c r="J53" i="39" s="1"/>
  <c r="R45" i="40"/>
  <c r="E44" i="40"/>
  <c r="G49" i="40"/>
  <c r="H49" i="40" s="1"/>
  <c r="G48" i="40"/>
  <c r="H48" i="40" s="1"/>
  <c r="Q69" i="44"/>
  <c r="L58" i="44"/>
  <c r="L61" i="44" s="1"/>
  <c r="D20" i="9"/>
  <c r="D19" i="9"/>
  <c r="B4" i="12" l="1"/>
  <c r="B5" i="12"/>
  <c r="L44" i="9"/>
  <c r="Q58" i="15"/>
  <c r="Q63" i="15" s="1"/>
  <c r="B5" i="44"/>
  <c r="B4" i="44"/>
  <c r="G53" i="39"/>
  <c r="H53" i="39" s="1"/>
  <c r="G54" i="39"/>
  <c r="H54" i="39" s="1"/>
  <c r="R50" i="39"/>
  <c r="E49" i="39"/>
  <c r="Q59" i="44"/>
  <c r="Q64" i="44" s="1"/>
  <c r="Q68" i="44"/>
  <c r="Q77" i="44" s="1"/>
  <c r="I49" i="40"/>
  <c r="J49" i="40" s="1"/>
  <c r="E48" i="40"/>
  <c r="F48" i="40" s="1"/>
  <c r="E49" i="40"/>
  <c r="F49" i="40" s="1"/>
  <c r="C45" i="40"/>
  <c r="C44" i="40"/>
  <c r="D21" i="9"/>
  <c r="E53" i="39" l="1"/>
  <c r="F53" i="39" s="1"/>
  <c r="E54" i="39"/>
  <c r="F54" i="39" s="1"/>
  <c r="I54" i="39"/>
  <c r="J54" i="39" s="1"/>
  <c r="C50" i="39"/>
  <c r="C49" i="39"/>
  <c r="B55" i="40"/>
  <c r="F55" i="40" s="1"/>
  <c r="B56" i="40"/>
  <c r="F56" i="40" s="1"/>
  <c r="B59" i="40"/>
  <c r="F59" i="40" s="1"/>
  <c r="B53" i="40"/>
  <c r="F53" i="40" s="1"/>
  <c r="B60" i="40"/>
  <c r="F60" i="40" s="1"/>
  <c r="B54" i="40"/>
  <c r="F54" i="40" s="1"/>
  <c r="B61" i="40"/>
  <c r="F61" i="40" s="1"/>
  <c r="F63" i="40"/>
  <c r="B2" i="40" s="1"/>
  <c r="B57" i="40"/>
  <c r="F57" i="40" s="1"/>
  <c r="B62" i="40"/>
  <c r="F62" i="40" s="1"/>
  <c r="B58" i="40"/>
  <c r="F58" i="40" s="1"/>
  <c r="B59" i="39" l="1"/>
  <c r="F59" i="39" s="1"/>
  <c r="B66" i="39"/>
  <c r="F66" i="39" s="1"/>
  <c r="B62" i="39"/>
  <c r="F62" i="39" s="1"/>
  <c r="B64" i="39"/>
  <c r="F64" i="39" s="1"/>
  <c r="B60" i="39"/>
  <c r="F60" i="39" s="1"/>
  <c r="B63" i="39"/>
  <c r="F63" i="39" s="1"/>
  <c r="B67" i="39"/>
  <c r="F67" i="39" s="1"/>
  <c r="B58" i="39"/>
  <c r="F58" i="39" s="1"/>
  <c r="B61" i="39"/>
  <c r="F61" i="39" s="1"/>
  <c r="B65" i="39"/>
  <c r="F65" i="39" s="1"/>
  <c r="B5" i="40"/>
  <c r="B4" i="40"/>
  <c r="B3" i="40"/>
  <c r="F68" i="39" l="1"/>
  <c r="B2" i="39" s="1"/>
  <c r="B5" i="39" s="1"/>
  <c r="C19" i="9"/>
  <c r="B4" i="39" l="1"/>
  <c r="B3" i="39"/>
  <c r="L43" i="9"/>
  <c r="D22" i="9"/>
  <c r="G19" i="9"/>
  <c r="P3" i="70" s="1"/>
  <c r="P7" i="70" s="1"/>
  <c r="C21" i="9"/>
  <c r="C20" i="9"/>
  <c r="R3" i="70" l="1"/>
  <c r="Q3" i="70"/>
  <c r="G21" i="9"/>
  <c r="G22" i="9"/>
  <c r="N43" i="9"/>
  <c r="G20" i="9"/>
  <c r="C32" i="9"/>
  <c r="C42" i="9" s="1"/>
  <c r="O43" i="9" l="1"/>
  <c r="C35" i="9"/>
  <c r="F42" i="9" s="1"/>
  <c r="O38" i="9"/>
  <c r="K26" i="9" s="1"/>
  <c r="C33" i="9"/>
  <c r="D42" i="9" s="1"/>
  <c r="Q5" i="54" s="1"/>
  <c r="B47" i="63" s="1"/>
  <c r="C34" i="9"/>
  <c r="E42" i="9" s="1"/>
  <c r="P5" i="54" s="1"/>
  <c r="B46" i="63" s="1"/>
  <c r="C44" i="9"/>
  <c r="D63" i="9"/>
  <c r="N68" i="9"/>
  <c r="R5" i="54"/>
  <c r="B48" i="63" s="1"/>
  <c r="D14" i="66"/>
  <c r="M38" i="9" l="1"/>
  <c r="K27" i="9" s="1"/>
  <c r="K25" i="9"/>
  <c r="N38" i="9"/>
  <c r="K28" i="9" s="1"/>
  <c r="C96" i="9"/>
  <c r="C91" i="9" s="1"/>
  <c r="C90" i="9"/>
  <c r="C82" i="9"/>
  <c r="C81" i="9" s="1"/>
  <c r="C85" i="9" s="1"/>
  <c r="C86" i="9" s="1"/>
  <c r="D72" i="9" s="1"/>
  <c r="D71" i="9"/>
  <c r="D66" i="9" s="1"/>
  <c r="N72" i="9" s="1"/>
  <c r="D73" i="9"/>
  <c r="N73" i="9" s="1"/>
  <c r="C103" i="9"/>
  <c r="C111" i="9"/>
  <c r="C104" i="9" s="1"/>
  <c r="D70" i="9"/>
  <c r="B5" i="66"/>
  <c r="F14" i="66"/>
  <c r="E14" i="66"/>
  <c r="O3" i="70" s="1"/>
  <c r="G14" i="66"/>
  <c r="B6" i="66" s="1"/>
  <c r="D44" i="9"/>
  <c r="E44" i="9"/>
  <c r="O39" i="9"/>
  <c r="N69" i="9"/>
  <c r="F44" i="9"/>
  <c r="C113" i="9" l="1"/>
  <c r="C97" i="9"/>
  <c r="C98" i="9" s="1"/>
  <c r="E98" i="9" s="1"/>
  <c r="E99" i="9" s="1"/>
  <c r="M84" i="9"/>
  <c r="N84" i="9" s="1"/>
  <c r="M88" i="9"/>
  <c r="N88" i="9" s="1"/>
  <c r="M86" i="9"/>
  <c r="N86" i="9" s="1"/>
  <c r="M83" i="9"/>
  <c r="N83" i="9" s="1"/>
  <c r="M87" i="9"/>
  <c r="N87" i="9" s="1"/>
  <c r="M85" i="9"/>
  <c r="N85" i="9" s="1"/>
  <c r="D6" i="66"/>
  <c r="C6" i="66"/>
  <c r="K29" i="9"/>
  <c r="K30" i="9" s="1"/>
  <c r="R6" i="54"/>
  <c r="B50" i="63" s="1"/>
  <c r="D5" i="66"/>
  <c r="C5" i="66"/>
  <c r="N89" i="9" l="1"/>
  <c r="O89" i="9" s="1"/>
  <c r="C114" i="9"/>
  <c r="E114" i="9" s="1"/>
  <c r="E115" i="9" s="1"/>
  <c r="C99" i="9"/>
  <c r="C115" i="9" l="1"/>
  <c r="D76" i="9" s="1"/>
  <c r="D74" i="9" s="1"/>
  <c r="N74" i="9" s="1"/>
  <c r="O77" i="9" s="1"/>
  <c r="Q77" i="9" l="1"/>
  <c r="O78"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<sst xmlns="http://schemas.openxmlformats.org/spreadsheetml/2006/main" count="8057" uniqueCount="3368">
  <si>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</si>
  <si>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</si>
  <si>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</si>
  <si>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</si>
  <si>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</si>
  <si>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</si>
  <si>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</si>
  <si>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</si>
  <si>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</si>
  <si>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</si>
  <si>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</si>
  <si>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</si>
  <si>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</si>
  <si>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</si>
  <si>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</si>
  <si>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</si>
  <si>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</si>
  <si>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</si>
  <si>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</si>
  <si>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</si>
  <si>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</si>
  <si>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</si>
  <si>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</si>
  <si>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</si>
  <si>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</si>
  <si>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</si>
  <si>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</si>
  <si>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</si>
  <si>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</si>
  <si>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</si>
  <si>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</si>
  <si>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</si>
  <si>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</si>
  <si>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</si>
  <si>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</si>
  <si>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</si>
  <si>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</si>
  <si>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</si>
  <si>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</si>
  <si>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</si>
  <si>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</si>
  <si>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</si>
  <si>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</si>
  <si>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</si>
  <si>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</si>
  <si>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</si>
  <si>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</si>
  <si>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</si>
  <si>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</si>
  <si>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</si>
  <si>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</si>
  <si>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</si>
  <si>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</si>
  <si>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</si>
  <si>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</si>
  <si>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</si>
  <si>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</si>
  <si>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</si>
  <si>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</si>
  <si>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</si>
  <si>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</si>
  <si>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</si>
  <si>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</si>
  <si>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</si>
  <si>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</si>
  <si>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</si>
  <si>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</si>
  <si>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</si>
  <si>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</si>
  <si>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</si>
  <si>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</si>
  <si>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</si>
  <si>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</si>
  <si>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</si>
  <si>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</si>
  <si>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</si>
  <si>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</si>
  <si>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</si>
  <si>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</si>
  <si>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</si>
  <si>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</si>
  <si>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</si>
  <si>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</si>
  <si>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</si>
  <si>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</si>
  <si>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</si>
  <si>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</si>
  <si>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</si>
  <si>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</si>
  <si>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</si>
  <si>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</si>
  <si>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</si>
  <si>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</si>
  <si>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</si>
  <si>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</si>
  <si>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</si>
  <si>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</si>
  <si>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</si>
  <si>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</si>
  <si>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</si>
  <si>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</si>
  <si>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</si>
  <si>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</si>
  <si>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</si>
  <si>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</si>
  <si>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</si>
  <si>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</si>
  <si>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</si>
  <si>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</si>
  <si>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</si>
  <si>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</si>
  <si>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</si>
  <si>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</si>
  <si>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</si>
  <si>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</si>
  <si>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</si>
  <si>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</si>
  <si>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</si>
  <si>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</si>
  <si>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</si>
  <si>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</si>
  <si>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</si>
  <si>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</si>
  <si>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</si>
  <si>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</si>
  <si>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</si>
  <si>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</si>
  <si>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</si>
  <si>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</si>
  <si>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</si>
  <si>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</si>
  <si>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</si>
  <si>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</si>
  <si>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</si>
  <si>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</si>
  <si>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</si>
  <si>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</si>
  <si>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</si>
  <si>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</si>
  <si>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</si>
  <si>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</si>
  <si>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</si>
  <si>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</si>
  <si>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</si>
  <si>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</si>
  <si>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</si>
  <si>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</si>
  <si>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</si>
  <si>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</si>
  <si>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</si>
  <si>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</si>
  <si>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</si>
  <si>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</si>
  <si>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</si>
  <si>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</si>
  <si>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</si>
  <si>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</si>
  <si>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</si>
  <si>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</si>
  <si>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</si>
  <si>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</si>
  <si>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</si>
  <si>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</si>
  <si>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</si>
  <si>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</si>
  <si>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</si>
  <si>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</si>
  <si>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</si>
  <si>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</si>
  <si>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</si>
  <si>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</si>
  <si>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</si>
  <si>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</si>
  <si>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</si>
  <si>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</si>
  <si>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</si>
  <si>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</si>
  <si>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</si>
  <si>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</si>
  <si>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</si>
  <si>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</si>
  <si>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</si>
  <si>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</si>
  <si>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</si>
  <si>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</si>
  <si>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</si>
  <si>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</si>
  <si>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</si>
  <si>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</si>
  <si>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</si>
  <si>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</si>
  <si>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</si>
  <si>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</si>
  <si>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</si>
  <si>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</si>
  <si>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</si>
  <si>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</si>
  <si>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</si>
  <si>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</si>
  <si>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</si>
  <si>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</si>
  <si>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</si>
  <si>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</si>
  <si>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</si>
  <si>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</si>
  <si>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</si>
  <si>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</si>
  <si>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</si>
  <si>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</si>
  <si>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</si>
  <si>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</si>
  <si>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</si>
  <si>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</si>
  <si>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</si>
  <si>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</si>
  <si>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</si>
  <si>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</si>
  <si>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</si>
  <si>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</si>
  <si>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</si>
  <si>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</si>
  <si>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</si>
  <si>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</si>
  <si>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</si>
  <si>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</si>
  <si>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</si>
  <si>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</si>
  <si>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</si>
  <si>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</si>
  <si>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</si>
  <si>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</si>
  <si>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</si>
  <si>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</si>
  <si>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</si>
  <si>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</si>
  <si>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</si>
  <si>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</si>
  <si>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</si>
  <si>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</si>
  <si>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</si>
  <si>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</si>
  <si>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</si>
  <si>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</si>
  <si>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</si>
  <si>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</si>
  <si>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</si>
  <si>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</si>
  <si>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</si>
  <si>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</si>
  <si>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</si>
  <si>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</si>
  <si>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</si>
  <si>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</si>
  <si>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</si>
  <si>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</si>
  <si>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</si>
  <si>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</si>
  <si>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</si>
  <si>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</si>
  <si>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</si>
  <si>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</si>
  <si>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</si>
  <si>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</si>
  <si>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</si>
  <si>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</si>
  <si>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</si>
  <si>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</si>
  <si>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</si>
  <si>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</si>
  <si>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</si>
  <si>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</si>
  <si>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</si>
  <si>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</si>
  <si>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</si>
  <si>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</si>
  <si>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</si>
  <si>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</si>
  <si>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</si>
  <si>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</si>
  <si>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</si>
  <si>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</si>
  <si>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</si>
  <si>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</si>
  <si>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</si>
  <si>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</si>
  <si>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</si>
  <si>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</si>
  <si>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</si>
  <si>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</si>
  <si>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</si>
  <si>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</si>
  <si>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</si>
  <si>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</si>
  <si>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</si>
  <si>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</si>
  <si>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</si>
  <si>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</si>
  <si>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</si>
  <si>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</si>
  <si>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</si>
  <si>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</si>
  <si>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</si>
  <si>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</si>
  <si>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</si>
  <si>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</si>
  <si>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</si>
  <si>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</si>
  <si>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</si>
  <si>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</si>
  <si>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</si>
  <si>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</si>
  <si>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</si>
  <si>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</si>
  <si>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</si>
  <si>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</si>
  <si>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</si>
  <si>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</si>
  <si>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</si>
  <si>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</si>
  <si>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</si>
  <si>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</si>
  <si>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</si>
  <si>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</si>
  <si>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</si>
  <si>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</si>
  <si>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</si>
  <si>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</si>
  <si>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</si>
  <si>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</si>
  <si>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</si>
  <si>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</si>
  <si>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</si>
  <si>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</si>
  <si>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</si>
  <si>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</si>
  <si>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</si>
  <si>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</si>
  <si>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</si>
  <si>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</si>
  <si>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</si>
  <si>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</si>
  <si>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</si>
  <si>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</si>
  <si>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</si>
  <si>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</si>
  <si>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</si>
  <si>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</si>
  <si>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</si>
  <si>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</si>
  <si>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</si>
  <si>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</si>
  <si>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</si>
  <si>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</si>
  <si>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</si>
  <si>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</si>
  <si>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</si>
  <si>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</si>
  <si>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</si>
  <si>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</si>
  <si>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</si>
  <si>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</si>
  <si>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</si>
  <si>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</si>
  <si>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</si>
  <si>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</si>
  <si>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</si>
  <si>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</si>
  <si>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</si>
  <si>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</si>
  <si>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</si>
  <si>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</si>
  <si>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</si>
  <si>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</si>
  <si>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</si>
  <si>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</si>
  <si>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</si>
  <si>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</si>
  <si>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</si>
  <si>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</si>
  <si>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</si>
  <si>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</si>
  <si>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</si>
  <si>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</si>
  <si>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</si>
  <si>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</si>
  <si>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</si>
  <si>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</si>
  <si>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</si>
  <si>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</si>
  <si>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</si>
  <si>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</si>
  <si>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</si>
  <si>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</si>
  <si>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</si>
  <si>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</si>
  <si>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</si>
  <si>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</si>
  <si>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</si>
  <si>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</si>
  <si>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</si>
  <si>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</si>
  <si>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</si>
  <si>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</si>
  <si>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</si>
  <si>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</si>
  <si>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</si>
  <si>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</si>
  <si>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</si>
  <si>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</si>
  <si>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</si>
  <si>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</si>
  <si>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</si>
  <si>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</si>
  <si>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</si>
  <si>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</si>
  <si>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</si>
  <si>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</si>
  <si>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</si>
  <si>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</si>
  <si>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</si>
  <si>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</si>
  <si>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</si>
  <si>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</si>
  <si>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</si>
  <si>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</si>
  <si>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</si>
  <si>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</si>
  <si>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</si>
  <si>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</si>
  <si>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</si>
  <si>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</si>
  <si>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</si>
  <si>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</si>
  <si>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</si>
  <si>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</si>
  <si>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</si>
  <si>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</si>
  <si>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</si>
  <si>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</si>
  <si>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</si>
  <si>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</si>
  <si>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</si>
  <si>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</si>
  <si>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</si>
  <si>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</si>
  <si>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</si>
  <si>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</si>
  <si>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</si>
  <si>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</si>
  <si>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</si>
  <si>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</si>
  <si>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</si>
  <si>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</si>
  <si>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</si>
  <si>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</si>
  <si>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</si>
  <si>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</si>
  <si>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</si>
  <si>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</si>
  <si>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</si>
  <si>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</si>
  <si>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</si>
  <si>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</si>
  <si>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</si>
  <si>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</si>
  <si>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</si>
  <si>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</si>
  <si>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</si>
  <si>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</si>
  <si>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</si>
  <si>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</si>
  <si>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</si>
  <si>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</si>
  <si>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</si>
  <si>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</si>
  <si>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</si>
  <si>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</si>
  <si>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</si>
  <si>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</si>
  <si>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</si>
  <si>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</si>
  <si>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</si>
  <si>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</si>
  <si>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</si>
  <si>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</si>
  <si>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</si>
  <si>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</si>
  <si>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</si>
  <si>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</si>
  <si>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</si>
  <si>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</si>
  <si>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</si>
  <si>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</si>
  <si>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</si>
  <si>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</si>
  <si>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</si>
  <si>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</si>
  <si>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</si>
  <si>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</si>
  <si>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</si>
  <si>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</si>
  <si>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</si>
  <si>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</si>
  <si>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</si>
  <si>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</si>
  <si>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</si>
  <si>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</si>
  <si>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</si>
  <si>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</si>
  <si>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</si>
  <si>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</si>
  <si>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</si>
  <si>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</si>
  <si>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</si>
  <si>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</si>
  <si>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</si>
  <si>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</si>
  <si>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</si>
  <si>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</si>
  <si>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</si>
  <si>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</si>
  <si>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</si>
  <si>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</si>
  <si>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</si>
  <si>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</si>
  <si>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</si>
  <si>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</si>
  <si>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</si>
  <si>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</si>
  <si>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</si>
  <si>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</si>
  <si>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</si>
  <si>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</si>
  <si>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</si>
  <si>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</si>
  <si>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</si>
  <si>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</si>
  <si>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</si>
  <si>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</si>
  <si>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</si>
  <si>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</si>
  <si>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</si>
  <si>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</si>
  <si>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</si>
  <si>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</si>
  <si>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</si>
  <si>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</si>
  <si>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</si>
  <si>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</si>
  <si>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</si>
  <si>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</si>
  <si>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</si>
  <si>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</si>
  <si>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</si>
  <si>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</si>
  <si>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</si>
  <si>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</si>
  <si>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</si>
  <si>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</si>
  <si>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</si>
  <si>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</si>
  <si>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</si>
  <si>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</si>
  <si>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</si>
  <si>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</si>
  <si>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</si>
  <si>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</si>
  <si>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</si>
  <si>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</si>
  <si>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</si>
  <si>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</si>
  <si>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</si>
  <si>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</si>
  <si>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</si>
  <si>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</si>
  <si>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</si>
  <si>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</si>
  <si>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</si>
  <si>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</si>
  <si>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</si>
  <si>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</si>
  <si>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</si>
  <si>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</si>
  <si>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</si>
  <si>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</si>
  <si>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</si>
  <si>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</si>
  <si>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</si>
  <si>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</si>
  <si>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</si>
  <si>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</si>
  <si>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</si>
  <si>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</si>
  <si>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</si>
  <si>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</si>
  <si>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</si>
  <si>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</si>
  <si>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</si>
  <si>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</si>
  <si>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</si>
  <si>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</si>
  <si>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</si>
  <si>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</si>
  <si>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</si>
  <si>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</si>
  <si>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</si>
  <si>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</si>
  <si>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</si>
  <si>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</si>
  <si>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</si>
  <si>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</si>
  <si>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</si>
  <si>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</si>
  <si>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</si>
  <si>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</si>
  <si>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</si>
  <si>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</si>
  <si>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</si>
  <si>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</si>
  <si>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</si>
  <si>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</si>
  <si>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</si>
  <si>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</si>
  <si>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</si>
  <si>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</si>
  <si>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</si>
  <si>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</si>
  <si>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</si>
  <si>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</si>
  <si>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</si>
  <si>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</si>
  <si>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</si>
  <si>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</si>
  <si>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</si>
  <si>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</si>
  <si>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</si>
  <si>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</si>
  <si>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</si>
  <si>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</si>
  <si>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</si>
  <si>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</si>
  <si>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</si>
  <si>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</si>
  <si>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</si>
  <si>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</si>
  <si>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</si>
  <si>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</si>
  <si>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</si>
  <si>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</si>
  <si>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</si>
  <si>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</si>
  <si>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</si>
  <si>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</si>
  <si>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</si>
  <si>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</si>
  <si>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</si>
  <si>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</si>
  <si>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</si>
  <si>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</si>
  <si>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</si>
  <si>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</si>
  <si>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</si>
  <si>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</si>
  <si>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</si>
  <si>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</si>
  <si>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</si>
  <si>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</si>
  <si>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</si>
  <si>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</si>
  <si>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</si>
  <si>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</si>
  <si>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</si>
  <si>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</si>
  <si>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</si>
  <si>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</si>
  <si>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</si>
  <si>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</si>
  <si>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</si>
  <si>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</si>
  <si>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</si>
  <si>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</si>
  <si>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</si>
  <si>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</si>
  <si>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</si>
  <si>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</si>
  <si>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</si>
  <si>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</si>
  <si>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</si>
  <si>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</si>
  <si>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</si>
  <si>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</si>
  <si>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</si>
  <si>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</si>
  <si>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</si>
  <si>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</si>
  <si>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</si>
  <si>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</si>
  <si>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</si>
  <si>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</si>
  <si>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</si>
  <si>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</si>
  <si>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</si>
  <si>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</si>
  <si>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</si>
  <si>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</si>
  <si>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</si>
  <si>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</si>
  <si>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</si>
  <si>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</si>
  <si>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</si>
  <si>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</si>
  <si>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</si>
  <si>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</si>
  <si>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</si>
  <si>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</si>
  <si>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</si>
  <si>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</si>
  <si>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</si>
  <si>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</si>
  <si>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</si>
  <si>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</si>
  <si>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</si>
  <si>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</si>
  <si>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</si>
  <si>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</si>
  <si>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</si>
  <si>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</si>
  <si>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</si>
  <si>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</si>
  <si>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</si>
  <si>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</si>
  <si>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</si>
  <si>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</si>
  <si>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</si>
  <si>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</si>
  <si>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</si>
  <si>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</si>
  <si>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</si>
  <si>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</si>
  <si>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</si>
  <si>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</si>
  <si>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</si>
  <si>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</si>
  <si>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</si>
  <si>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</si>
  <si>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</si>
  <si>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</si>
  <si>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</si>
  <si>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</si>
  <si>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</si>
  <si>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</si>
  <si>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</si>
  <si>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</si>
  <si>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</si>
  <si>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</si>
  <si>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</si>
  <si>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</si>
  <si>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</si>
  <si>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</si>
  <si>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</si>
  <si>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</si>
  <si>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</si>
  <si>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</si>
  <si>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</si>
  <si>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</si>
  <si>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</si>
  <si>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</si>
  <si>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</si>
  <si>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</si>
  <si>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</si>
  <si>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</si>
  <si>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</si>
  <si>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</si>
  <si>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</si>
  <si>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</si>
  <si>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</si>
  <si>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</si>
  <si>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</si>
  <si>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</si>
  <si>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</si>
  <si>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</si>
  <si>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</si>
  <si>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</si>
  <si>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</si>
  <si>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</si>
  <si>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</si>
  <si>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</si>
  <si>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</si>
  <si>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</si>
  <si>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</si>
  <si>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</si>
  <si>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</si>
  <si>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</si>
  <si>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</si>
  <si>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</si>
  <si>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</si>
  <si>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</si>
  <si>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</si>
  <si>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</si>
  <si>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</si>
  <si>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</si>
  <si>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</si>
  <si>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</si>
  <si>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</si>
  <si>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</si>
  <si>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</si>
  <si>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</si>
  <si>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</si>
  <si>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</si>
  <si>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</si>
  <si>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</si>
  <si>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</si>
  <si>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</si>
  <si>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</si>
  <si>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</si>
  <si>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</si>
  <si>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</si>
  <si>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</si>
  <si>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</si>
  <si>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</si>
  <si>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</si>
  <si>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</si>
  <si>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</si>
  <si>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</si>
  <si>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</si>
  <si>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</si>
  <si>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</si>
  <si>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</si>
  <si>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</si>
  <si>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</si>
  <si>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</si>
  <si>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</si>
  <si>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</si>
  <si>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</si>
  <si>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</si>
  <si>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</si>
  <si>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</si>
  <si>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</si>
  <si>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</si>
  <si>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</si>
  <si>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</si>
  <si>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</si>
  <si>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</si>
  <si>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</si>
  <si>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</si>
  <si>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</si>
  <si>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</si>
  <si>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</si>
  <si>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</si>
  <si>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</si>
  <si>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</si>
  <si>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</si>
  <si>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</si>
  <si>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</si>
  <si>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</si>
  <si>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</si>
  <si>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</si>
  <si>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</si>
  <si>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</si>
  <si>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</si>
  <si>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</si>
  <si>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</si>
  <si>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</si>
  <si>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</si>
  <si>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</si>
  <si>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</si>
  <si>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</si>
  <si>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</si>
  <si>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</si>
  <si>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</si>
  <si>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</si>
  <si>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</si>
  <si>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</si>
  <si>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</si>
  <si>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</si>
  <si>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</si>
  <si>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</si>
  <si>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</si>
  <si>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</si>
  <si>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</si>
  <si>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</si>
  <si>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</si>
  <si>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</si>
  <si>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</si>
  <si>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</si>
  <si>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</si>
  <si>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</si>
  <si>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</si>
  <si>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</si>
  <si>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</si>
  <si>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</si>
  <si>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</si>
  <si>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</si>
  <si>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</si>
  <si>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</si>
  <si>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</si>
  <si>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</si>
  <si>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</si>
  <si>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</si>
  <si>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</si>
  <si>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</si>
  <si>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</si>
  <si>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</si>
  <si>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</si>
  <si>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</si>
  <si>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</si>
  <si>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</si>
  <si>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</si>
  <si>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</si>
  <si>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</si>
  <si>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</si>
  <si>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</si>
  <si>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</si>
  <si>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</si>
  <si>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</si>
  <si>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</si>
  <si>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</si>
  <si>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</si>
  <si>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</si>
  <si>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</si>
  <si>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</si>
  <si>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</si>
  <si>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</si>
  <si>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</si>
  <si>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</si>
  <si>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</si>
  <si>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</si>
  <si>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</si>
  <si>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</si>
  <si>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</si>
  <si>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</si>
  <si>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</si>
  <si>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</si>
  <si>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</si>
  <si>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</si>
  <si>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</si>
  <si>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</si>
  <si>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</si>
  <si>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</si>
  <si>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</si>
  <si>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</si>
  <si>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</si>
  <si>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</si>
  <si>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</si>
  <si>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</si>
  <si>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</si>
  <si>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</si>
  <si>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</si>
  <si>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</si>
  <si>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</si>
  <si>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</si>
  <si>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</si>
  <si>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</si>
  <si>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</si>
  <si>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</si>
  <si>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</si>
  <si>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</si>
  <si>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</si>
  <si>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</si>
  <si>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</si>
  <si>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</si>
  <si>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</si>
  <si>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</si>
  <si>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</si>
  <si>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</si>
  <si>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</si>
  <si>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</si>
  <si>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</si>
  <si>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</si>
  <si>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</si>
  <si>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</si>
  <si>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</si>
  <si>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</si>
  <si>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</si>
  <si>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</si>
  <si>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</si>
  <si>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</si>
  <si>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</si>
  <si>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</si>
  <si>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</si>
  <si>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</si>
  <si>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</si>
  <si>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</si>
  <si>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</si>
  <si>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</si>
  <si>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</si>
  <si>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</si>
  <si>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</si>
  <si>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</si>
  <si>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</si>
  <si>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</si>
  <si>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</si>
  <si>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</si>
  <si>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</si>
  <si>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</si>
  <si>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</si>
  <si>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</si>
  <si>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</si>
  <si>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</si>
  <si>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</si>
  <si>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</si>
  <si>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</si>
  <si>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</si>
  <si>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</si>
  <si>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</si>
  <si>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</si>
  <si>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</si>
  <si>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</si>
  <si>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</si>
  <si>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</si>
  <si>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</si>
  <si>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</si>
  <si>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</si>
  <si>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</si>
  <si>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</si>
  <si>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</si>
  <si>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</si>
  <si>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</si>
  <si>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</si>
  <si>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</si>
  <si>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</si>
  <si>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</si>
  <si>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</si>
  <si>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</si>
  <si>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</si>
  <si>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</si>
  <si>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</si>
  <si>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</si>
  <si>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</si>
  <si>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</si>
  <si>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</si>
  <si>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</si>
  <si>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</si>
  <si>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</si>
  <si>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</si>
  <si>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</si>
  <si>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</si>
  <si>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</si>
  <si>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</si>
  <si>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</si>
  <si>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</si>
  <si>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</si>
  <si>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</si>
  <si>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</si>
  <si>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</si>
  <si>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</si>
  <si>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</si>
  <si>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</si>
  <si>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</si>
  <si>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</si>
  <si>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</si>
  <si>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</si>
  <si>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</si>
  <si>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</si>
  <si>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</si>
  <si>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</si>
  <si>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</si>
  <si>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</si>
  <si>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</si>
  <si>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</si>
  <si>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</si>
  <si>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</si>
  <si>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</si>
  <si>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</si>
  <si>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</si>
  <si>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</si>
  <si>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</si>
  <si>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</si>
  <si>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</si>
  <si>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</si>
  <si>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</si>
  <si>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</si>
  <si>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</si>
  <si>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</si>
  <si>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</si>
  <si>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</si>
  <si>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</si>
  <si>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</si>
  <si>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</si>
  <si>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</si>
  <si>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</si>
  <si>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</si>
  <si>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</si>
  <si>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</si>
  <si>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</si>
  <si>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</si>
  <si>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</si>
  <si>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</si>
  <si>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</si>
  <si>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</si>
  <si>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</si>
  <si>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</si>
  <si>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</si>
  <si>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</si>
  <si>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</si>
  <si>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</si>
  <si>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</si>
  <si>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</si>
  <si>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</si>
  <si>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</si>
  <si>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</si>
  <si>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</si>
  <si>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</si>
  <si>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</si>
  <si>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</si>
  <si>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</si>
  <si>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</si>
  <si>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</si>
  <si>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</si>
  <si>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</si>
  <si>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</si>
  <si>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</si>
  <si>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</si>
  <si>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</si>
  <si>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</si>
  <si>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</si>
  <si>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</si>
  <si>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</si>
  <si>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</si>
  <si>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</si>
  <si>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</si>
  <si>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</si>
  <si>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</si>
  <si>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</si>
  <si>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</si>
  <si>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</si>
  <si>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</si>
  <si>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</si>
  <si>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</si>
  <si>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</si>
  <si>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</si>
  <si>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</si>
  <si>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</si>
  <si>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</si>
  <si>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</si>
  <si>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</si>
  <si>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</si>
  <si>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</si>
  <si>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</si>
  <si>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</si>
  <si>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</si>
  <si>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</si>
  <si>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</si>
  <si>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</si>
  <si>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</si>
  <si>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</si>
  <si>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</si>
  <si>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</si>
  <si>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</si>
  <si>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</si>
  <si>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</si>
  <si>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</si>
  <si>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</si>
  <si>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</si>
  <si>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</si>
  <si>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</si>
  <si>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</si>
  <si>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</si>
  <si>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</si>
  <si>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</si>
  <si>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</si>
  <si>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</si>
  <si>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</si>
  <si>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</si>
  <si>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</si>
  <si>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</si>
  <si>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</si>
  <si>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</si>
  <si>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</si>
  <si>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</si>
  <si>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</si>
  <si>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</si>
  <si>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</si>
  <si>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</si>
  <si>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</si>
  <si>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</si>
  <si>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</si>
  <si>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</si>
  <si>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</si>
  <si>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</si>
  <si>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</si>
  <si>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</si>
  <si>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</si>
  <si>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</si>
  <si>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</si>
  <si>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</si>
  <si>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</si>
  <si>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</si>
  <si>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</si>
  <si>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</si>
  <si>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</si>
  <si>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</si>
  <si>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</si>
  <si>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</si>
  <si>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</si>
  <si>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</si>
  <si>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</si>
  <si>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</si>
  <si>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</si>
  <si>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</si>
  <si>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</si>
  <si>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</si>
  <si>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</si>
  <si>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</si>
  <si>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</si>
  <si>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</si>
  <si>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</si>
  <si>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</si>
  <si>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</si>
  <si>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</si>
  <si>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</si>
  <si>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</si>
  <si>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</si>
  <si>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</si>
  <si>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</si>
  <si>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</si>
  <si>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</si>
  <si>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</si>
  <si>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</si>
  <si>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</si>
  <si>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</si>
  <si>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</si>
  <si>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</si>
  <si>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</si>
  <si>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</si>
  <si>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</si>
  <si>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</si>
  <si>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</si>
  <si>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</si>
  <si>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</si>
  <si>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</si>
  <si>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</si>
  <si>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</si>
  <si>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</si>
  <si>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</si>
  <si>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</si>
  <si>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</si>
  <si>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</si>
  <si>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</si>
  <si>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</si>
  <si>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</si>
  <si>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</si>
  <si>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</si>
  <si>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</si>
  <si>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</si>
  <si>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</si>
  <si>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</si>
  <si>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</si>
  <si>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</si>
  <si>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</si>
  <si>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</si>
  <si>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</si>
  <si>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</si>
  <si>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</si>
  <si>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</si>
  <si>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</si>
  <si>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</si>
  <si>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</si>
  <si>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</si>
  <si>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</si>
  <si>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</si>
  <si>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</si>
  <si>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</si>
  <si>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</si>
  <si>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</si>
  <si>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</si>
  <si>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</si>
  <si>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</si>
  <si>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</si>
  <si>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</si>
  <si>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</si>
  <si>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</si>
  <si>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</si>
  <si>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</si>
  <si>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</si>
  <si>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</si>
  <si>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</si>
  <si>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</si>
  <si>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</si>
  <si>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</si>
  <si>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</si>
  <si>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</si>
  <si>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</si>
  <si>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</si>
  <si>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</si>
  <si>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</si>
  <si>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</si>
  <si>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</si>
  <si>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</si>
  <si>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</si>
  <si>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</si>
  <si>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</si>
  <si>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</si>
  <si>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</si>
  <si>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</si>
  <si>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</si>
  <si>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</si>
  <si>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</si>
  <si>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</si>
  <si>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</si>
  <si>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</si>
  <si>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</si>
  <si>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</si>
  <si>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</si>
  <si>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</si>
  <si>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</si>
  <si>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</si>
  <si>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</si>
  <si>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</si>
  <si>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</si>
  <si>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</si>
  <si>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</si>
  <si>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</si>
  <si>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</si>
  <si>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</si>
  <si>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</si>
  <si>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</si>
  <si>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</si>
  <si>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</si>
  <si>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</si>
  <si>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</si>
  <si>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</si>
  <si>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</si>
  <si>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</si>
  <si>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</si>
  <si>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</si>
  <si>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</si>
  <si>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</si>
  <si>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</si>
  <si>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</si>
  <si>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</si>
  <si>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</si>
  <si>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</si>
  <si>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</si>
  <si>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</si>
  <si>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</si>
  <si>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</si>
  <si>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</si>
  <si>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</si>
  <si>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</si>
  <si>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</si>
  <si>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</si>
  <si>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</si>
  <si>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</si>
  <si>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</si>
  <si>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</si>
  <si>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</si>
  <si>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</si>
  <si>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</si>
  <si>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</si>
  <si>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</si>
  <si>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</si>
  <si>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</si>
  <si>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</si>
  <si>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</si>
  <si>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</si>
  <si>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</si>
  <si>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</si>
  <si>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</si>
  <si>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</si>
  <si>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</si>
  <si>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</si>
  <si>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</si>
  <si>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</si>
  <si>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</si>
  <si>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</si>
  <si>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</si>
  <si>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</si>
  <si>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</si>
  <si>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</si>
  <si>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</si>
  <si>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</si>
  <si>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</si>
  <si>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</si>
  <si>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</si>
  <si>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</si>
  <si>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</si>
  <si>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</si>
  <si>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</si>
  <si>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</si>
  <si>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</si>
  <si>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</si>
  <si>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</si>
  <si>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</si>
  <si>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</si>
  <si>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</si>
  <si>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</si>
  <si>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</si>
  <si>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</si>
  <si>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</si>
  <si>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</si>
  <si>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</si>
  <si>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</si>
  <si>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</si>
  <si>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</si>
  <si>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</si>
  <si>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</si>
  <si>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</si>
  <si>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</si>
  <si>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</si>
  <si>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</si>
  <si>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</si>
  <si>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</si>
  <si>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</si>
  <si>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</si>
  <si>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</si>
  <si>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</si>
  <si>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</si>
  <si>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</si>
  <si>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</si>
  <si>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</si>
  <si>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</si>
  <si>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</si>
  <si>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</si>
  <si>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</si>
  <si>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</si>
  <si>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</si>
  <si>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</si>
  <si>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</si>
  <si>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</si>
  <si>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</si>
  <si>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</si>
  <si>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</si>
  <si>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</si>
  <si>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</si>
  <si>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</si>
  <si>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</si>
  <si>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</si>
  <si>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</si>
  <si>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</si>
  <si>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</si>
  <si>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</si>
  <si>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</si>
  <si>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</si>
  <si>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</si>
  <si>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</si>
  <si>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</si>
  <si>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</si>
  <si>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</si>
  <si>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</si>
  <si>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</si>
  <si>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</si>
  <si>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</si>
  <si>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</si>
  <si>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</si>
  <si>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</si>
  <si>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</si>
  <si>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</si>
  <si>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</si>
  <si>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</si>
  <si>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</si>
  <si>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</si>
  <si>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</si>
  <si>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</si>
  <si>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</si>
  <si>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</si>
  <si>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</si>
  <si>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</si>
  <si>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</si>
  <si>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</si>
  <si>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</si>
  <si>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</si>
  <si>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</si>
  <si>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</si>
  <si>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</si>
  <si>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</si>
  <si>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</si>
  <si>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</si>
  <si>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</si>
  <si>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</si>
  <si>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</si>
  <si>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</si>
  <si>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</si>
  <si>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</si>
  <si>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</si>
  <si>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</si>
  <si>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</si>
  <si>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</si>
  <si>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</si>
  <si>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</si>
  <si>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</si>
  <si>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</si>
  <si>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</si>
  <si>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</si>
  <si>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</si>
  <si>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</si>
  <si>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</si>
  <si>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</si>
  <si>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</si>
  <si>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</si>
  <si>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</si>
  <si>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</si>
  <si>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</si>
  <si>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</si>
  <si>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</si>
  <si>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</si>
  <si>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</si>
  <si>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</si>
  <si>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</si>
  <si>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</si>
  <si>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</si>
  <si>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</si>
  <si>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</si>
  <si>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</si>
  <si>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</si>
  <si>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</si>
  <si>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</si>
  <si>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</si>
  <si>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</si>
  <si>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</si>
  <si>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</si>
  <si>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</si>
  <si>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</si>
  <si>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</si>
  <si>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</si>
  <si>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</si>
  <si>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</si>
  <si>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</si>
  <si>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</si>
  <si>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</si>
  <si>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</si>
  <si>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</si>
  <si>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</si>
  <si>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</si>
  <si>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</si>
  <si>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</si>
  <si>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</si>
  <si>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</si>
  <si>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</si>
  <si>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</si>
  <si>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</si>
  <si>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</si>
  <si>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</si>
  <si>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</si>
  <si>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</si>
  <si>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</si>
  <si>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</si>
  <si>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</si>
  <si>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</si>
  <si>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</si>
  <si>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</si>
  <si>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</si>
  <si>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</si>
  <si>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</si>
  <si>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</si>
  <si>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</si>
  <si>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</si>
  <si>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</si>
  <si>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</si>
  <si>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</si>
  <si>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</si>
  <si>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</si>
  <si>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</si>
  <si>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</si>
  <si>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</si>
  <si>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</si>
  <si>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</si>
  <si>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</si>
  <si>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</si>
  <si>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</si>
  <si>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</si>
  <si>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</si>
  <si>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</si>
  <si>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</si>
  <si>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</si>
  <si>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</si>
  <si>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</si>
  <si>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</si>
  <si>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</si>
  <si>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</si>
  <si>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</si>
  <si>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</si>
  <si>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</si>
  <si>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</si>
  <si>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</si>
  <si>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</si>
  <si>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</si>
  <si>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</si>
  <si>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</si>
  <si>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</si>
  <si>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</si>
  <si>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</si>
  <si>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</si>
  <si>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</si>
  <si>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</si>
  <si>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</si>
  <si>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</si>
  <si>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</si>
  <si>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</si>
  <si>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</si>
  <si>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</si>
  <si>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</si>
  <si>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</si>
  <si>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</si>
  <si>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</si>
  <si>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</si>
  <si>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</si>
  <si>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</si>
  <si>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</si>
  <si>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</si>
  <si>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</si>
  <si>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</si>
  <si>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</si>
  <si>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</si>
  <si>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</si>
  <si>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</si>
  <si>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</si>
  <si>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</si>
  <si>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</si>
  <si>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</si>
  <si>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</si>
  <si>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</si>
  <si>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</si>
  <si>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</si>
  <si>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</si>
  <si>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</si>
  <si>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</si>
  <si>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</si>
  <si>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</si>
  <si>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</si>
  <si>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</si>
  <si>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</si>
  <si>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</si>
  <si>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</si>
  <si>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</si>
  <si>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</si>
  <si>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</si>
  <si>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</si>
  <si>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</si>
  <si>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</si>
  <si>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</si>
  <si>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</si>
  <si>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</si>
  <si>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</si>
  <si>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</si>
  <si>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</si>
  <si>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</si>
  <si>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</si>
  <si>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</si>
  <si>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</si>
  <si>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</si>
  <si>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</si>
  <si>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</si>
  <si>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</si>
  <si>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</si>
  <si>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</si>
  <si>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</si>
  <si>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</si>
  <si>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</si>
  <si>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</si>
  <si>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</si>
  <si>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</si>
  <si>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</si>
  <si>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</si>
  <si>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</si>
  <si>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</si>
  <si>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</si>
  <si>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</si>
  <si>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</si>
  <si>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</si>
  <si>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</si>
  <si>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</si>
  <si>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</si>
  <si>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</si>
  <si>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</si>
  <si>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</si>
  <si>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</si>
  <si>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</si>
  <si>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</si>
  <si>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</si>
  <si>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</si>
  <si>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</si>
  <si>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</si>
  <si>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</si>
  <si>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</si>
  <si>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</si>
  <si>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</si>
  <si>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</si>
  <si>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</si>
  <si>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</si>
  <si>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</si>
  <si>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</si>
  <si>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</si>
  <si>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</si>
  <si>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</si>
  <si>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</si>
  <si>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</si>
  <si>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</si>
  <si>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</si>
  <si>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</si>
  <si>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</si>
  <si>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</si>
  <si>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</si>
  <si>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</si>
  <si>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</si>
  <si>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</si>
  <si>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</si>
  <si>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</si>
  <si>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</si>
  <si>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</si>
  <si>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</si>
  <si>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</si>
  <si>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</si>
  <si>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</si>
  <si>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</si>
  <si>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</si>
  <si>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</si>
  <si>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</si>
  <si>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</si>
  <si>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</si>
  <si>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</si>
  <si>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</si>
  <si>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</si>
  <si>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</si>
  <si>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</si>
  <si>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</si>
  <si>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</si>
  <si>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</si>
  <si>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</si>
  <si>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</si>
  <si>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</si>
  <si>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</si>
  <si>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</si>
  <si>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</si>
  <si>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</si>
  <si>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</si>
  <si>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</si>
  <si>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</si>
  <si>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</si>
  <si>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</si>
  <si>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</si>
  <si>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</si>
  <si>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</si>
  <si>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</si>
  <si>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</si>
  <si>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</si>
  <si>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</si>
  <si>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</si>
  <si>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</si>
  <si>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</si>
  <si>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</si>
  <si>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</si>
  <si>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</si>
  <si>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</si>
  <si>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</si>
  <si>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</si>
  <si>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</si>
  <si>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</si>
  <si>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</si>
  <si>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</si>
  <si>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</si>
  <si>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</si>
  <si>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</si>
  <si>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</si>
  <si>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</si>
  <si>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</si>
  <si>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</si>
  <si>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</si>
  <si>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</si>
  <si>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</si>
  <si>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</si>
  <si>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</si>
  <si>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</si>
  <si>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</si>
  <si>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</si>
  <si>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</si>
  <si>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</si>
  <si>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</si>
  <si>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</si>
  <si>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</si>
  <si>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</si>
  <si>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</si>
  <si>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</si>
  <si>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</si>
  <si>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</si>
  <si>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</si>
  <si>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</si>
  <si>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</si>
  <si>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</si>
  <si>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</si>
  <si>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</si>
  <si>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</si>
  <si>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</si>
  <si>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</si>
  <si>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</si>
  <si>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</si>
  <si>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</si>
  <si>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</si>
  <si>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</si>
  <si>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</si>
  <si>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</si>
  <si>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</si>
  <si>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</si>
  <si>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</si>
  <si>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</si>
  <si>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</si>
  <si>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</si>
  <si>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</si>
  <si>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</si>
  <si>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</si>
  <si>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</si>
  <si>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</si>
  <si>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</si>
  <si>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</si>
  <si>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</si>
  <si>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</si>
  <si>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</si>
  <si>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</si>
  <si>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</si>
  <si>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</si>
  <si>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</si>
  <si>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</si>
  <si>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</si>
  <si>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</si>
  <si>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</si>
  <si>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</si>
  <si>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</si>
  <si>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</si>
  <si>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</si>
  <si>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</si>
  <si>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</si>
  <si>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</si>
  <si>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</si>
  <si>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</si>
  <si>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</si>
  <si>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</si>
  <si>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</si>
  <si>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</si>
  <si>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</si>
  <si>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</si>
  <si>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</si>
  <si>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</si>
  <si>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</si>
  <si>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</si>
  <si>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</si>
  <si>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</si>
  <si>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</si>
  <si>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</si>
  <si>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</si>
  <si>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</si>
  <si>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</si>
  <si>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</si>
  <si>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</si>
  <si>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</si>
  <si>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</si>
  <si>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</si>
  <si>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</si>
  <si>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</si>
  <si>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</si>
  <si>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</si>
  <si>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</si>
  <si>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</si>
  <si>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</si>
  <si>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</si>
  <si>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</si>
  <si>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</si>
  <si>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</si>
  <si>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</si>
  <si>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</si>
  <si>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</si>
  <si>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</si>
  <si>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</si>
  <si>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</si>
  <si>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</si>
  <si>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</si>
  <si>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</si>
  <si>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</si>
  <si>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</si>
  <si>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</si>
  <si>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</si>
  <si>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</si>
  <si>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</si>
  <si>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</si>
  <si>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</si>
  <si>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</si>
  <si>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</si>
  <si>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</si>
  <si>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</si>
  <si>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</si>
  <si>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</si>
  <si>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</si>
  <si>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</si>
  <si>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</si>
  <si>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</si>
  <si>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</si>
  <si>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</si>
  <si>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</si>
  <si>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</si>
  <si>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</si>
  <si>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</si>
  <si>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</si>
  <si>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</si>
  <si>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</si>
  <si>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</si>
  <si>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</si>
  <si>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</si>
  <si>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</si>
  <si>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</si>
  <si>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</si>
  <si>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</si>
  <si>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</si>
  <si>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</si>
  <si>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</si>
  <si>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</si>
  <si>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</si>
  <si>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</si>
  <si>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</si>
  <si>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</si>
  <si>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</si>
  <si>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</si>
  <si>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</si>
  <si>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</si>
  <si>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</si>
  <si>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</si>
  <si>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</si>
  <si>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</si>
  <si>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</si>
  <si>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</si>
  <si>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</si>
  <si>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</si>
  <si>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</si>
  <si>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</si>
  <si>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</si>
  <si>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</si>
  <si>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</si>
  <si>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</si>
  <si>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</si>
  <si>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</si>
  <si>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</si>
  <si>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</si>
  <si>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</si>
  <si>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</si>
  <si>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</si>
  <si>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</si>
  <si>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</si>
  <si>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</si>
  <si>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</si>
  <si>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</si>
  <si>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</si>
  <si>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</si>
  <si>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</si>
  <si>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</si>
  <si>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</si>
  <si>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</si>
  <si>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</si>
  <si>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</si>
  <si>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</si>
  <si>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</si>
  <si>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</si>
  <si>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</si>
  <si>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</si>
  <si>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</si>
  <si>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</si>
  <si>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</si>
  <si>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</si>
  <si>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</si>
  <si>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</si>
  <si>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</si>
  <si>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</si>
  <si>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</si>
  <si>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</si>
  <si>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</si>
  <si>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</si>
  <si>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</si>
  <si>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</si>
  <si>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</si>
  <si>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</si>
  <si>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</si>
  <si>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</si>
  <si>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</si>
  <si>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</si>
  <si>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</si>
  <si>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</si>
  <si>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</si>
  <si>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</si>
  <si>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</si>
  <si>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</si>
  <si>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</si>
  <si>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</si>
  <si>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</si>
  <si>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</si>
  <si>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</si>
  <si>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</si>
  <si>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</si>
  <si>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</si>
  <si>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</si>
  <si>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</si>
  <si>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</si>
  <si>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</si>
  <si>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</si>
  <si>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</si>
  <si>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</si>
  <si>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</si>
  <si>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</si>
  <si>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</si>
  <si>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</si>
  <si>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</si>
  <si>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</si>
  <si>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</si>
  <si>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</si>
  <si>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</si>
  <si>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</si>
  <si>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</si>
  <si>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</si>
  <si>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</si>
  <si>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</si>
  <si>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</si>
  <si>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</si>
  <si>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</si>
  <si>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</si>
  <si>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</si>
  <si>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</si>
  <si>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</si>
  <si>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</si>
  <si>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</si>
  <si>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</si>
  <si>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</si>
  <si>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</si>
  <si>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</si>
  <si>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</si>
  <si>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</si>
  <si>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</si>
  <si>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</si>
  <si>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</si>
  <si>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</si>
  <si>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</si>
  <si>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</si>
  <si>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</si>
  <si>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</si>
  <si>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</si>
  <si>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</si>
  <si>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</si>
  <si>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</si>
  <si>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</si>
  <si>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</si>
  <si>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</si>
  <si>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</si>
  <si>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</si>
  <si>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</si>
  <si>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</si>
  <si>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</si>
  <si>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</si>
  <si>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</si>
  <si>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</si>
  <si>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</si>
  <si>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</si>
  <si>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</si>
  <si>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</si>
  <si>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</si>
  <si>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</si>
  <si>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</si>
  <si>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</si>
  <si>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</si>
  <si>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</si>
  <si>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</si>
  <si>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</si>
  <si>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</si>
  <si>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</si>
  <si>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</si>
  <si>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</si>
  <si>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</si>
  <si>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</si>
  <si>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</si>
  <si>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</si>
  <si>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</si>
  <si>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</si>
  <si>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</si>
  <si>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</si>
  <si>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</si>
  <si>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</si>
  <si>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</si>
  <si>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</si>
  <si>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</si>
  <si>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</si>
  <si>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</si>
  <si>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</si>
  <si>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</si>
  <si>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</si>
  <si>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</si>
  <si>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</si>
  <si>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</si>
  <si>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</si>
  <si>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</si>
  <si>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</si>
  <si>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</si>
  <si>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</si>
  <si>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</si>
  <si>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</si>
  <si>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</si>
  <si>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</si>
  <si>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</si>
  <si>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</si>
  <si>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</si>
  <si>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</si>
  <si>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</si>
  <si>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</si>
  <si>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</si>
  <si>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</si>
  <si>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</si>
  <si>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</si>
  <si>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</si>
  <si>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</si>
  <si>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</si>
  <si>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</si>
  <si>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</si>
  <si>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</si>
  <si>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</si>
  <si>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</si>
  <si>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</si>
  <si>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</si>
  <si>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</si>
  <si>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</si>
  <si>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</si>
  <si>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</si>
  <si>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</si>
  <si>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</si>
  <si>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</si>
  <si>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</si>
  <si>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</si>
  <si>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</si>
  <si>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</si>
  <si>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</si>
  <si>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</si>
  <si>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</si>
  <si>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</si>
  <si>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</si>
  <si>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</si>
  <si>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</si>
  <si>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</si>
  <si>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</si>
  <si>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</si>
  <si>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</si>
  <si>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</si>
  <si>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</si>
  <si>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</si>
  <si>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</si>
  <si>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</si>
  <si>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</si>
  <si>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</si>
  <si>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</si>
  <si>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</si>
  <si>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</si>
  <si>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</si>
  <si>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</si>
  <si>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</si>
  <si>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</si>
  <si>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</si>
  <si>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</si>
  <si>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</si>
  <si>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</si>
  <si>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</si>
  <si>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</si>
  <si>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</si>
  <si>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</si>
  <si>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</si>
  <si>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</si>
  <si>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</si>
  <si>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</si>
  <si>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</si>
  <si>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</si>
  <si>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</si>
  <si>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</si>
  <si>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</si>
  <si>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</si>
  <si>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</si>
  <si>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</si>
  <si>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</si>
  <si>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</si>
  <si>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</si>
  <si>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</si>
  <si>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</si>
  <si>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</si>
  <si>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</si>
  <si>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</si>
  <si>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</si>
  <si>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</si>
  <si>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</si>
  <si>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</si>
  <si>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</si>
  <si>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</si>
  <si>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</si>
  <si>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</si>
  <si>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</si>
  <si>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</si>
  <si>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</si>
  <si>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</si>
  <si>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</si>
  <si>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</si>
  <si>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</si>
  <si>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</si>
  <si>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</si>
  <si>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</si>
  <si>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</si>
  <si>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</si>
  <si>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</si>
  <si>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</si>
  <si>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</si>
  <si>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</si>
  <si>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</si>
  <si>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</si>
  <si>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</si>
  <si>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</si>
  <si>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</si>
  <si>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</si>
  <si>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</si>
  <si>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</si>
  <si>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</si>
  <si>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</si>
  <si>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</si>
  <si>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</si>
  <si>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</si>
  <si>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</si>
  <si>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</si>
  <si>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</si>
  <si>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</si>
  <si>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</si>
  <si>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</si>
  <si>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</si>
  <si>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</si>
  <si>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</si>
  <si>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</si>
  <si>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</si>
  <si>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</si>
  <si>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</si>
  <si>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</si>
  <si>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</si>
  <si>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</si>
  <si>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</si>
  <si>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</si>
  <si>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</si>
  <si>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</si>
  <si>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</si>
  <si>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</si>
  <si>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</si>
  <si>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</si>
  <si>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</si>
  <si>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</si>
  <si>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</si>
  <si>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</si>
  <si>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</si>
  <si>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</si>
  <si>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</si>
  <si>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</si>
  <si>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</si>
  <si>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</si>
  <si>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</si>
  <si>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</si>
  <si>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</si>
  <si>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</si>
  <si>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</si>
  <si>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</si>
  <si>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</si>
  <si>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</si>
  <si>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</si>
  <si>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</si>
  <si>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</si>
  <si>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</si>
  <si>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</si>
  <si>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</si>
  <si>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</si>
  <si>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</si>
  <si>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</si>
  <si>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</si>
  <si>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</si>
  <si>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</si>
  <si>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</si>
  <si>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</si>
  <si>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</si>
  <si>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</si>
  <si>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</si>
  <si>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</si>
  <si>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</si>
  <si>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</si>
  <si>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</si>
  <si>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</si>
  <si>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</si>
  <si>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</si>
  <si>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</si>
  <si>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</si>
  <si>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</si>
  <si>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</si>
  <si>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</si>
  <si>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</si>
  <si>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</si>
  <si>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</si>
  <si>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</si>
  <si>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</si>
  <si>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</si>
  <si>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</si>
  <si>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</si>
  <si>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</si>
  <si>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</si>
  <si>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</si>
  <si>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</si>
  <si>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</si>
  <si>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</si>
  <si>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</si>
  <si>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</si>
  <si>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</si>
  <si>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</si>
  <si>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</si>
  <si>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</si>
  <si>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</si>
  <si>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</si>
  <si>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</si>
  <si>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</si>
  <si>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</si>
  <si>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</si>
  <si>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</si>
  <si>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</si>
  <si>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</si>
  <si>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</si>
  <si>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</si>
  <si>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</si>
  <si>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</si>
  <si>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</si>
  <si>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</si>
  <si>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</si>
  <si>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</si>
  <si>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</si>
  <si>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</si>
  <si>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</si>
  <si>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</si>
  <si>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</si>
  <si>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</si>
  <si>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</si>
  <si>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</si>
  <si>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</si>
  <si>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</si>
  <si>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</si>
  <si>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</si>
  <si>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</si>
  <si>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</si>
  <si>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</si>
  <si>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</si>
  <si>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</si>
  <si>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</si>
  <si>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</si>
  <si>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</si>
  <si>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</si>
  <si>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</si>
  <si>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</si>
  <si>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</si>
  <si>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</si>
  <si>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</si>
  <si>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</si>
  <si>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</si>
  <si>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</si>
  <si>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</si>
  <si>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</si>
  <si>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</si>
  <si>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</si>
  <si>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</si>
  <si>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</si>
  <si>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</si>
  <si>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</si>
  <si>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</si>
  <si>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</si>
  <si>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</si>
  <si>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</si>
  <si>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</si>
  <si>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</si>
  <si>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</si>
  <si>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</si>
  <si>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</si>
  <si>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</si>
  <si>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</si>
  <si>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</si>
  <si>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</si>
  <si>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</si>
  <si>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</si>
  <si>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</si>
  <si>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</si>
  <si>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</si>
  <si>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</si>
  <si>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</si>
  <si>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</si>
  <si>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</si>
  <si>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</si>
  <si>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</si>
  <si>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</si>
  <si>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</si>
  <si>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</si>
  <si>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</si>
  <si>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</si>
  <si>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</si>
  <si>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</si>
  <si>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</si>
  <si>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</si>
  <si>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</si>
  <si>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</si>
  <si>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</si>
  <si>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</si>
  <si>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</si>
  <si>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</si>
  <si>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</si>
  <si>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</si>
  <si>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</si>
  <si>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</si>
  <si>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</si>
  <si>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</si>
  <si>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</si>
  <si>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</si>
  <si>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</si>
  <si>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</si>
  <si>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</si>
  <si>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</si>
  <si>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</si>
  <si>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</si>
  <si>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</si>
  <si>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</si>
  <si>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</si>
  <si>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</si>
  <si>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</si>
  <si>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</si>
  <si>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</si>
  <si>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</si>
  <si>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</si>
  <si>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</si>
  <si>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</si>
  <si>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</si>
  <si>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</si>
  <si>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</si>
  <si>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</si>
  <si>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</si>
  <si>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</si>
  <si>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</si>
  <si>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</si>
  <si>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</si>
  <si>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</si>
  <si>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</si>
  <si>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</si>
  <si>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</si>
  <si>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</si>
  <si>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</si>
  <si>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</si>
  <si>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</si>
  <si>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</si>
  <si>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</si>
  <si>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</si>
  <si>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</si>
  <si>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</si>
  <si>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</si>
  <si>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</si>
  <si>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</si>
  <si>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</si>
  <si>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</si>
  <si>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</si>
  <si>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</si>
  <si>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</si>
  <si>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</si>
  <si>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</si>
  <si>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</si>
  <si>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</si>
  <si>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</si>
  <si>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</si>
  <si>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</si>
  <si>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</si>
  <si>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</si>
  <si>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</si>
  <si>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</si>
  <si>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</si>
  <si>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</si>
  <si>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</si>
  <si>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</si>
  <si>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</si>
  <si>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</si>
  <si>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</si>
  <si>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</si>
  <si>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</si>
  <si>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</si>
  <si>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</si>
  <si>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</si>
  <si>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</si>
  <si>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</si>
  <si>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</si>
  <si>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</si>
  <si>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</si>
  <si>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</si>
  <si>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</si>
  <si>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</si>
  <si>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</si>
  <si>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</si>
  <si>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</si>
  <si>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</si>
  <si>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</si>
  <si>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</si>
  <si>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</si>
  <si>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</si>
  <si>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</si>
  <si>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</si>
  <si>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</si>
  <si>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</si>
  <si>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</si>
  <si>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</si>
  <si>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</si>
  <si>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</si>
  <si>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</si>
  <si>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</si>
  <si>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</si>
  <si>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</si>
  <si>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</si>
  <si>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</si>
  <si>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</si>
  <si>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</si>
  <si>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</si>
  <si>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</si>
  <si>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</si>
  <si>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</si>
  <si>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</si>
  <si>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</si>
  <si>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</si>
  <si>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</si>
  <si>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</si>
  <si>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</si>
  <si>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</si>
  <si>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</si>
  <si>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</si>
  <si>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</si>
  <si>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</si>
  <si>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</si>
  <si>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</si>
  <si>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</si>
  <si>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</si>
  <si>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</si>
  <si>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</si>
  <si>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</si>
  <si>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</si>
  <si>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</si>
  <si>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</si>
  <si>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</si>
  <si>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</si>
  <si>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</si>
  <si>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</si>
  <si>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</si>
  <si>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</si>
  <si>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</si>
  <si>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</si>
  <si>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</si>
  <si>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</si>
  <si>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</si>
  <si>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</si>
  <si>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</si>
  <si>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</si>
  <si>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</si>
  <si>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</si>
  <si>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</si>
  <si>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</si>
  <si>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</si>
  <si>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</si>
  <si>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</si>
  <si>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</si>
  <si>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</si>
  <si>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</si>
  <si>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</si>
  <si>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</si>
  <si>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</si>
  <si>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</si>
  <si>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</si>
  <si>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</si>
  <si>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</si>
  <si>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</si>
  <si>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</si>
  <si>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</si>
  <si>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</si>
  <si>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</si>
  <si>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</si>
  <si>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</si>
  <si>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</si>
  <si>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</si>
  <si>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</si>
  <si>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</si>
  <si>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</si>
  <si>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</si>
  <si>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</si>
  <si>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</si>
  <si>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</si>
  <si>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</si>
  <si>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</si>
  <si>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</si>
  <si>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</si>
  <si>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</si>
  <si>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</si>
  <si>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</si>
  <si>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</si>
  <si>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</si>
  <si>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</si>
  <si>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</si>
  <si>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</si>
  <si>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</si>
  <si>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</si>
  <si>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</si>
  <si>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</si>
  <si>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</si>
  <si>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</si>
  <si>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</si>
  <si>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</si>
  <si>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</si>
  <si>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</si>
  <si>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</si>
  <si>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</si>
  <si>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</si>
  <si>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</si>
  <si>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</si>
  <si>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</si>
  <si>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</si>
  <si>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</si>
  <si>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</si>
  <si>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</si>
  <si>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</si>
  <si>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</si>
  <si>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</si>
  <si>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</si>
  <si>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</si>
  <si>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</si>
  <si>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</si>
  <si>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</si>
  <si>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</si>
  <si>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</si>
  <si>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</si>
  <si>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</si>
  <si>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</si>
  <si>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</si>
  <si>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</si>
  <si>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</si>
  <si>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</si>
  <si>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</si>
  <si>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</si>
  <si>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</si>
  <si>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</si>
  <si>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</si>
  <si>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</si>
  <si>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</si>
  <si>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</si>
  <si>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</si>
  <si>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</si>
  <si>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</si>
  <si>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</si>
  <si>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</si>
  <si>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</si>
  <si>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</si>
  <si>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</si>
  <si>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</si>
  <si>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</si>
  <si>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</si>
  <si>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</si>
  <si>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</si>
  <si>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</si>
  <si>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</si>
  <si>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</si>
  <si>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</si>
  <si>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</si>
  <si>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</si>
  <si>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</si>
  <si>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</si>
  <si>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</si>
  <si>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</si>
  <si>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</si>
  <si>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</si>
  <si>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</si>
  <si>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</si>
  <si>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</si>
  <si>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</si>
  <si>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</si>
  <si>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</si>
  <si>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</si>
  <si>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</si>
  <si>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</si>
  <si>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</si>
  <si>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</si>
  <si>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</si>
  <si>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</si>
  <si>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</si>
  <si>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</si>
  <si>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</si>
  <si>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</si>
  <si>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</si>
  <si>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</si>
  <si>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</si>
  <si>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</si>
  <si>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</si>
  <si>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</si>
  <si>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</si>
  <si>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</si>
  <si>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</si>
  <si>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</si>
  <si>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</si>
  <si>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</si>
  <si>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</si>
  <si>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</si>
  <si>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</si>
  <si>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</si>
  <si>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</si>
  <si>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</si>
  <si>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</si>
  <si>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</si>
  <si>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</si>
  <si>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</si>
  <si>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</si>
  <si>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</si>
  <si>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</si>
  <si>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</si>
  <si>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</si>
  <si>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</si>
  <si>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</si>
  <si>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</si>
  <si>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</si>
  <si>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</si>
  <si>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</si>
  <si>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</si>
  <si>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</si>
  <si>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</si>
  <si>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</si>
  <si>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</si>
  <si>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</si>
  <si>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</si>
  <si>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</si>
  <si>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</si>
  <si>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</si>
  <si>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</si>
  <si>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</si>
  <si>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</si>
  <si>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</si>
  <si>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</si>
  <si>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</si>
  <si>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</si>
  <si>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</si>
  <si>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</si>
  <si>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</si>
  <si>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</si>
  <si>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</si>
  <si>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</si>
  <si>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</si>
  <si>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</si>
  <si>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</si>
  <si>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</si>
  <si>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</si>
  <si>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</si>
  <si>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</si>
  <si>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</si>
  <si>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</si>
  <si>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</si>
  <si>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</si>
  <si>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</si>
  <si>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</si>
  <si>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</si>
  <si>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</si>
  <si>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</si>
  <si>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</si>
  <si>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</si>
  <si>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</si>
  <si>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</si>
  <si>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</si>
  <si>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</si>
  <si>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</si>
  <si>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</si>
  <si>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</si>
  <si>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</si>
  <si>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</si>
  <si>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</si>
  <si>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</si>
  <si>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</si>
  <si>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</si>
  <si>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</si>
  <si>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</si>
  <si>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</si>
  <si>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</si>
  <si>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</si>
  <si>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</si>
  <si>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</si>
  <si>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</si>
  <si>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</si>
  <si>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</si>
  <si>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</si>
  <si>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</si>
  <si>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</si>
  <si>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</si>
  <si>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</si>
  <si>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</si>
  <si>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</si>
  <si>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</si>
  <si>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</si>
  <si>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</si>
  <si>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</si>
  <si>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</si>
  <si>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</si>
  <si>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</si>
  <si>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</si>
  <si>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</si>
  <si>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</si>
  <si>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</si>
  <si>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</si>
  <si>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</si>
  <si>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</si>
  <si>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</si>
  <si>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</si>
  <si>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</si>
  <si>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</si>
  <si>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</si>
  <si>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</si>
  <si>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</si>
  <si>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</si>
  <si>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</si>
  <si>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</si>
  <si>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</si>
  <si>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</si>
  <si>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</si>
  <si>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</si>
  <si>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</si>
  <si>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</si>
  <si>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</si>
  <si>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</si>
  <si>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</si>
  <si>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</si>
  <si>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</si>
  <si>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</si>
  <si>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</si>
  <si>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</si>
  <si>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</si>
  <si>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</si>
  <si>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</si>
  <si>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</si>
  <si>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</si>
  <si>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</si>
  <si>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</si>
  <si>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</si>
  <si>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</si>
  <si>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</si>
  <si>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</si>
  <si>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</si>
  <si>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</si>
  <si>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</si>
  <si>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</si>
  <si>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</si>
  <si>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</si>
  <si>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</si>
  <si>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</si>
  <si>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</si>
  <si>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</si>
  <si>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</si>
  <si>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</si>
  <si>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</si>
  <si>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</si>
  <si>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</si>
  <si>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</si>
  <si>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</si>
  <si>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</si>
  <si>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</si>
  <si>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</si>
  <si>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</si>
  <si>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</si>
  <si>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</si>
  <si>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</si>
  <si>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</si>
  <si>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</si>
  <si>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</si>
  <si>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</si>
  <si>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</si>
  <si>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</si>
  <si>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</si>
  <si>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</si>
  <si>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</si>
  <si>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</si>
  <si>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</si>
  <si>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</si>
  <si>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</si>
  <si>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</si>
  <si>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</si>
  <si>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</si>
  <si>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</si>
  <si>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</si>
  <si>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</si>
  <si>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</si>
  <si>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</si>
  <si>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</si>
  <si>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</si>
  <si>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</si>
  <si>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</si>
  <si>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</si>
  <si>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</si>
  <si>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</si>
  <si>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</si>
  <si>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</si>
  <si>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</si>
  <si>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</si>
  <si>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</si>
  <si>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</si>
  <si>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</si>
  <si>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</si>
  <si>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</si>
  <si>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</si>
  <si>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</si>
  <si>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</si>
  <si>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</si>
  <si>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</si>
  <si>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</si>
  <si>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</si>
  <si>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</si>
  <si>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</si>
  <si>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</si>
  <si>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</si>
  <si>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</si>
  <si>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</si>
  <si>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</si>
  <si>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</si>
  <si>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</si>
  <si>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</si>
  <si>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</si>
  <si>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</si>
  <si>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</si>
  <si>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</si>
  <si>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</si>
  <si>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</si>
  <si>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</si>
  <si>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</si>
  <si>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</si>
  <si>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</si>
  <si>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</si>
  <si>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</si>
  <si>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</si>
  <si>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</si>
  <si>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</si>
  <si>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</si>
  <si>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</si>
  <si>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</si>
  <si>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</si>
  <si>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</si>
  <si>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</si>
  <si>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</si>
  <si>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</si>
  <si>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</si>
  <si>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</si>
  <si>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</si>
  <si>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</si>
  <si>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</si>
  <si>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</si>
  <si>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</si>
  <si>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</si>
  <si>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</si>
  <si>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</si>
  <si>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</si>
  <si>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</si>
  <si>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</si>
  <si>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</si>
  <si>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</si>
  <si>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</si>
  <si>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</si>
  <si>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</si>
  <si>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</si>
  <si>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</si>
  <si>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</si>
  <si>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</si>
  <si>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</si>
  <si>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</si>
  <si>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</si>
  <si>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</si>
  <si>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</si>
  <si>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</si>
  <si>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</si>
  <si>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</si>
  <si>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</si>
  <si>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</si>
  <si>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</si>
  <si>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</si>
  <si>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</si>
  <si>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</si>
  <si>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</si>
  <si>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</si>
  <si>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</si>
  <si>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</si>
  <si>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</si>
  <si>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</si>
  <si>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</si>
  <si>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</si>
  <si>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</si>
  <si>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</si>
  <si>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</si>
  <si>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</si>
  <si>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</si>
  <si>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</si>
  <si>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</si>
  <si>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</si>
  <si>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</si>
  <si>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</si>
  <si>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</si>
  <si>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</si>
  <si>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郑燚</t>
  </si>
  <si>
    <t>崔锴</t>
  </si>
  <si>
    <t>抵押价格</t>
  </si>
  <si>
    <t>光大兴陇信托有限责任公司</t>
    <phoneticPr fontId="6" type="noConversion"/>
  </si>
  <si>
    <t>湖北大冶湖高新技术产业投资有限公司</t>
  </si>
  <si>
    <t>湖北大冶湖高新技术产业投资有限公司</t>
    <phoneticPr fontId="6" type="noConversion"/>
  </si>
  <si>
    <t>其他：</t>
  </si>
  <si>
    <t>大冶市罗桥商贸新区新冶大道东侧、职业技术学校北侧</t>
    <phoneticPr fontId="6" type="noConversion"/>
  </si>
  <si>
    <t>湖北省黄石市</t>
    <phoneticPr fontId="6" type="noConversion"/>
  </si>
  <si>
    <t>企业</t>
  </si>
  <si>
    <t>符合</t>
  </si>
  <si>
    <t>一致</t>
  </si>
  <si>
    <t>住宅</t>
    <phoneticPr fontId="6" type="noConversion"/>
  </si>
  <si>
    <t>否</t>
  </si>
  <si>
    <t>居住项目</t>
  </si>
  <si>
    <t>场地平整</t>
  </si>
  <si>
    <t>通路</t>
  </si>
  <si>
    <t>通电</t>
  </si>
  <si>
    <t>通上水</t>
  </si>
  <si>
    <t>地上</t>
  </si>
  <si>
    <t>平层住宅</t>
  </si>
  <si>
    <t>住宅</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</si>
  <si>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</si>
  <si>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</si>
  <si>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</si>
  <si>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</si>
  <si>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</si>
  <si>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</si>
  <si>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</si>
  <si>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</si>
  <si>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</si>
  <si>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</si>
  <si>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</si>
  <si>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</si>
  <si>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</si>
  <si>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</si>
  <si>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</si>
  <si>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还地桥镇煤矿村办公楼对面锦冶线以北</t>
  </si>
  <si>
    <t>黄石市</t>
  </si>
  <si>
    <t>住宅用地</t>
  </si>
  <si>
    <t>大于1并且小于3</t>
  </si>
  <si>
    <t>挂牌</t>
  </si>
  <si>
    <t>城镇住宅-普通商品住房用地</t>
  </si>
  <si>
    <t>2020-11-03</t>
  </si>
  <si>
    <t>黄石空港城市建设投资有限公司</t>
  </si>
  <si>
    <t>0星</t>
  </si>
  <si>
    <t>还地桥镇弘仁三期以南316国道以东</t>
  </si>
  <si>
    <t>还地桥镇铁贺线以南316国道以西A</t>
  </si>
  <si>
    <t>罗桥商贸新区罗金大道北侧东港路东侧B</t>
  </si>
  <si>
    <t>罗桥商贸新区罗金大道北侧东港路东侧A</t>
  </si>
  <si>
    <t>还地桥百凯新城一期以西</t>
  </si>
  <si>
    <t>还地桥镇铁贺线以南316国道以西B</t>
  </si>
  <si>
    <t>城西北工业园12号路以东23号路以南地块</t>
  </si>
  <si>
    <t>百花路以东B28路以北四棵大道以南A33路以西A-01地块</t>
  </si>
  <si>
    <t>大于或等于1并且小于2.8</t>
  </si>
  <si>
    <t>2020-10-22</t>
  </si>
  <si>
    <t>黄石市益民投资有限公司</t>
  </si>
  <si>
    <t>大棋路以北宝山路以西山南铁路以南A-01</t>
  </si>
  <si>
    <t>大于或等于1并且小于3</t>
  </si>
  <si>
    <t>2020-10-15</t>
  </si>
  <si>
    <t>黄石市众邦基业开发建设有限公司</t>
  </si>
  <si>
    <t>大棋路以北宝山路以西山南铁路以南A-03</t>
  </si>
  <si>
    <t>熊家洲西垦区花园路东侧桑梓路南侧</t>
  </si>
  <si>
    <t>大于或等于1并且小于或等于2.5</t>
  </si>
  <si>
    <t>城镇住宅用地</t>
  </si>
  <si>
    <t>2020-09-22</t>
  </si>
  <si>
    <t>大冶碧桂园房地产开发有限公司</t>
  </si>
  <si>
    <t>4星</t>
  </si>
  <si>
    <t>新冶大道以东职业技术学校以北</t>
  </si>
  <si>
    <t>大于或等于1并且小于或等于3</t>
  </si>
  <si>
    <t>罗桥工业园大冶大道以东武九铁路以北</t>
  </si>
  <si>
    <t>大于或等于1并且小于或等于3.8</t>
  </si>
  <si>
    <t>2020-07-29</t>
  </si>
  <si>
    <t>大冶市华嘉房地产开发有限公司</t>
  </si>
  <si>
    <t>黄石汪仁组团金山大道以北钟山大道以南A1路以东I-03地块</t>
  </si>
  <si>
    <t>大于或等于1.1并且小于或等于1.5</t>
  </si>
  <si>
    <t>2020-07-06</t>
  </si>
  <si>
    <t>湖北光亮新能源产业投资有限公司</t>
  </si>
  <si>
    <t>3星</t>
  </si>
  <si>
    <t>大棋路以北章山大道以东地块</t>
  </si>
  <si>
    <t>≥1,≤2.8</t>
  </si>
  <si>
    <t>黄石汪仁组团金山大道以北钟山大道以南A1路以东I-02地块</t>
  </si>
  <si>
    <t>黄石汪仁组团金山大道以北钟山大道以南A1路以东I-01地块</t>
  </si>
  <si>
    <t>金山大道以北钟山大道以南(李氏墩)B地块</t>
  </si>
  <si>
    <t>2020-06-01</t>
  </si>
  <si>
    <t>中铁二十二局集团房地产开发有限公司</t>
  </si>
  <si>
    <t>汪仁组团金山大道以北钟山大道以南月亮山路以西A-01地块</t>
  </si>
  <si>
    <t>大于或等于1并且小于或等于2.8</t>
  </si>
  <si>
    <t>拍卖</t>
  </si>
  <si>
    <t>2020-05-18</t>
  </si>
  <si>
    <t>汪仁组团金山大道以北钟山大道以南月亮山路以西A-02地块</t>
  </si>
  <si>
    <t>汪仁组团金山大道以北钟山大道以南月亮山路以西A-03地块</t>
  </si>
  <si>
    <t>三里七片区陈大模湾周边C地块</t>
  </si>
  <si>
    <t>2020-04-17</t>
  </si>
  <si>
    <t>大冶市德发置业有限公司</t>
  </si>
  <si>
    <t>三里七片区陈大模湾周边A地块</t>
  </si>
  <si>
    <t>三里七片区陈大模湾周边D地块</t>
  </si>
  <si>
    <t>三里七片区陈大模湾周边B地块</t>
  </si>
  <si>
    <t>高城支路南侧、宏维人家西侧地块</t>
  </si>
  <si>
    <t>大于或等于1并且小于或等于3.5</t>
  </si>
  <si>
    <t>2020-01-20</t>
  </si>
  <si>
    <t>大冶市远鹏置业有限公司</t>
  </si>
  <si>
    <t>熊家洲片区春华路东侧海雅路南侧B地块</t>
  </si>
  <si>
    <t>大于或等于1并且小于或等于1.43</t>
  </si>
  <si>
    <t>大冶市海雅房地产开发有限公司</t>
  </si>
  <si>
    <t>5星</t>
  </si>
  <si>
    <t>金牛镇广电中心东南侧B地块</t>
  </si>
  <si>
    <t>湖北汇鑫置业有限公司</t>
  </si>
  <si>
    <t>2星</t>
  </si>
  <si>
    <t>熊家洲片区春华路东侧海雅路南侧A地块</t>
  </si>
  <si>
    <t>熊家洲片区106国道以西原蓝天液化气站地块</t>
  </si>
  <si>
    <t>大冶市名人房地产开发有限公司</t>
  </si>
  <si>
    <t>汪仁组团金山大道以北钟山大道以南月亮山路以东C-03</t>
  </si>
  <si>
    <t>2019-12-31</t>
  </si>
  <si>
    <t>汪仁组团金山大道以北钟山大道以南月亮山路以东C-02</t>
  </si>
  <si>
    <t>汪仁组团金山大道以北钟山大道以南月亮山路以东C-01</t>
  </si>
  <si>
    <t>核心区西区圣明路以东B24路以北A23路以西</t>
  </si>
  <si>
    <t>综合用地(含住宅)</t>
  </si>
  <si>
    <t>≥0,≤2.5</t>
  </si>
  <si>
    <t>商住</t>
  </si>
  <si>
    <t>2019-12-13</t>
  </si>
  <si>
    <t>均价5600</t>
  </si>
  <si>
    <t>主力户型108-133</t>
  </si>
  <si>
    <t>13栋楼层高34层，已开盘4栋，销售比较好</t>
  </si>
  <si>
    <t>均价6100，房价6100-6500，底商1.2万到1.6万</t>
  </si>
  <si>
    <t>102-151</t>
  </si>
  <si>
    <t>33层</t>
  </si>
  <si>
    <t>6000左右</t>
  </si>
  <si>
    <t>已售罄</t>
  </si>
  <si>
    <t>5800-6800均价，高层6400，小高层6600</t>
  </si>
  <si>
    <t>8栋住宅6栋高层，2栋小高层，规划绿化比较好</t>
  </si>
  <si>
    <t>序号</t>
    <phoneticPr fontId="228" type="noConversion"/>
  </si>
  <si>
    <t>出让合同</t>
    <phoneticPr fontId="228" type="noConversion"/>
  </si>
  <si>
    <t>地址</t>
    <phoneticPr fontId="228" type="noConversion"/>
  </si>
  <si>
    <t>住宅面积</t>
    <phoneticPr fontId="228" type="noConversion"/>
  </si>
  <si>
    <t>商业面积</t>
    <phoneticPr fontId="228" type="noConversion"/>
  </si>
  <si>
    <t>容积率</t>
    <phoneticPr fontId="228" type="noConversion"/>
  </si>
  <si>
    <t>商业配比</t>
    <phoneticPr fontId="228" type="noConversion"/>
  </si>
  <si>
    <t>起始日期</t>
    <phoneticPr fontId="228" type="noConversion"/>
  </si>
  <si>
    <t>拿地金额</t>
    <phoneticPr fontId="228" type="noConversion"/>
  </si>
  <si>
    <t>地面地价</t>
    <phoneticPr fontId="228" type="noConversion"/>
  </si>
  <si>
    <t>亩</t>
    <phoneticPr fontId="228" type="noConversion"/>
  </si>
  <si>
    <t>土地面积修正系数</t>
    <phoneticPr fontId="228" type="noConversion"/>
  </si>
  <si>
    <t>评估楼面单价</t>
    <phoneticPr fontId="228" type="noConversion"/>
  </si>
  <si>
    <t>评估总值</t>
    <phoneticPr fontId="228" type="noConversion"/>
  </si>
  <si>
    <t>地面单价（亩）</t>
    <phoneticPr fontId="228" type="noConversion"/>
  </si>
  <si>
    <t>城西北工业园12号路以东、23号路以南</t>
    <phoneticPr fontId="228" type="noConversion"/>
  </si>
  <si>
    <t>罗金大道北侧、东港路东侧A地块</t>
    <phoneticPr fontId="228" type="noConversion"/>
  </si>
  <si>
    <t>罗金大道北侧、东港路东侧B地块</t>
    <phoneticPr fontId="228" type="noConversion"/>
  </si>
  <si>
    <t>大冶市罗桥商贸新区新冶大道东侧、职业技术学校北侧</t>
    <phoneticPr fontId="228" type="noConversion"/>
  </si>
  <si>
    <t>https://j.map.baidu.com/30/eyW</t>
    <phoneticPr fontId="228" type="noConversion"/>
  </si>
  <si>
    <t>地图网址</t>
    <phoneticPr fontId="228" type="noConversion"/>
  </si>
  <si>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</si>
  <si>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</si>
  <si>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</si>
  <si>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</si>
  <si>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</si>
  <si>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t>
    <phoneticPr fontId="228" type="noConversion"/>
  </si>
  <si>
    <t>六通</t>
  </si>
  <si>
    <t>六通</t>
    <phoneticPr fontId="21" type="noConversion"/>
  </si>
  <si>
    <t>主干道</t>
  </si>
  <si>
    <t>主干道</t>
    <phoneticPr fontId="21" type="noConversion"/>
  </si>
  <si>
    <t>单面临街</t>
  </si>
  <si>
    <t>较好</t>
  </si>
  <si>
    <t>较好</t>
    <phoneticPr fontId="21" type="noConversion"/>
  </si>
  <si>
    <t>比较法-住宅、综合</t>
  </si>
  <si>
    <t>剩余法-待开发</t>
  </si>
  <si>
    <t>项目全部</t>
  </si>
  <si>
    <t>土地</t>
  </si>
  <si>
    <t>住宅用地</t>
    <phoneticPr fontId="26" type="noConversion"/>
  </si>
  <si>
    <t>主干道</t>
    <phoneticPr fontId="26" type="noConversion"/>
  </si>
  <si>
    <t>次干道</t>
    <phoneticPr fontId="26" type="noConversion"/>
  </si>
  <si>
    <t>支路</t>
    <phoneticPr fontId="26" type="noConversion"/>
  </si>
  <si>
    <t>规则</t>
  </si>
  <si>
    <t>较规则</t>
  </si>
  <si>
    <t>较不规则</t>
  </si>
  <si>
    <t>不规则</t>
  </si>
  <si>
    <t>七通一平</t>
  </si>
  <si>
    <t>六通一平</t>
  </si>
  <si>
    <t>五通一平</t>
  </si>
  <si>
    <t>四通一平</t>
  </si>
  <si>
    <t>三通一平</t>
  </si>
  <si>
    <t>较好</t>
    <phoneticPr fontId="26" type="noConversion"/>
  </si>
  <si>
    <t>一般</t>
  </si>
  <si>
    <t>一般</t>
    <phoneticPr fontId="26" type="noConversion"/>
  </si>
  <si>
    <t>新冶大道</t>
    <phoneticPr fontId="26" type="noConversion"/>
  </si>
  <si>
    <t>正常</t>
  </si>
  <si>
    <t>售价</t>
  </si>
  <si>
    <t>住宅</t>
    <phoneticPr fontId="21" type="noConversion"/>
  </si>
  <si>
    <t>60-70（含）</t>
  </si>
  <si>
    <t>次干道</t>
    <phoneticPr fontId="21" type="noConversion"/>
  </si>
  <si>
    <t>支路</t>
    <phoneticPr fontId="21" type="noConversion"/>
  </si>
  <si>
    <t>金湖星都</t>
    <phoneticPr fontId="228" type="noConversion"/>
  </si>
  <si>
    <t>誉帮长乐府</t>
    <phoneticPr fontId="228" type="noConversion"/>
  </si>
  <si>
    <t>宏维人家</t>
    <phoneticPr fontId="228" type="noConversion"/>
  </si>
  <si>
    <t>金茂观澜府</t>
    <phoneticPr fontId="228" type="noConversion"/>
  </si>
  <si>
    <t>小高层</t>
    <phoneticPr fontId="21" type="noConversion"/>
  </si>
  <si>
    <t>高层</t>
  </si>
  <si>
    <t>高层</t>
    <phoneticPr fontId="21" type="noConversion"/>
  </si>
  <si>
    <t>钢混</t>
  </si>
  <si>
    <t>钢混</t>
    <phoneticPr fontId="21" type="noConversion"/>
  </si>
  <si>
    <t>砖混</t>
    <phoneticPr fontId="21" type="noConversion"/>
  </si>
  <si>
    <t>专业物业管理</t>
  </si>
  <si>
    <t>专业物业管理</t>
    <phoneticPr fontId="21" type="noConversion"/>
  </si>
  <si>
    <t>普通物业管理</t>
    <phoneticPr fontId="21" type="noConversion"/>
  </si>
  <si>
    <t>高端</t>
    <phoneticPr fontId="21" type="noConversion"/>
  </si>
  <si>
    <t>中端</t>
  </si>
  <si>
    <t>中端</t>
    <phoneticPr fontId="21" type="noConversion"/>
  </si>
  <si>
    <t>低端</t>
    <phoneticPr fontId="21" type="noConversion"/>
  </si>
  <si>
    <t>精装</t>
  </si>
  <si>
    <t>普装</t>
  </si>
  <si>
    <t>简装</t>
  </si>
  <si>
    <t>毛坯</t>
  </si>
  <si>
    <r>
      <rPr>
        <sz val="11"/>
        <rFont val="仿宋_GB2312"/>
        <family val="3"/>
        <charset val="134"/>
      </rPr>
      <t>估价对象名称</t>
    </r>
    <phoneticPr fontId="3" type="noConversion"/>
  </si>
  <si>
    <r>
      <rPr>
        <sz val="11"/>
        <rFont val="仿宋_GB2312"/>
        <family val="3"/>
        <charset val="134"/>
      </rPr>
      <t>项目位置</t>
    </r>
    <phoneticPr fontId="3" type="noConversion"/>
  </si>
  <si>
    <t>建筑规模</t>
    <phoneticPr fontId="228" type="noConversion"/>
  </si>
  <si>
    <t>详细信息</t>
    <phoneticPr fontId="228" type="noConversion"/>
  </si>
  <si>
    <t>售价</t>
    <phoneticPr fontId="228" type="noConversion"/>
  </si>
  <si>
    <t>高层</t>
    <phoneticPr fontId="228" type="noConversion"/>
  </si>
  <si>
    <t>百花路以东B28路以北四棵大道以南A33路以西A-02地块</t>
  </si>
  <si>
    <t>2020-11-27</t>
  </si>
  <si>
    <t>熊家洲片区黄献路东侧沿湖路南侧A地块</t>
  </si>
  <si>
    <t>≤1.5</t>
  </si>
  <si>
    <t>2019-10-30</t>
  </si>
  <si>
    <t>大冶市振恒城市发展投资有限公司</t>
  </si>
  <si>
    <t>大冶大道西侧原拖车厂生产区地块</t>
  </si>
  <si>
    <t>≤4.3</t>
  </si>
  <si>
    <t>大冶同瑞置业有限公司</t>
  </si>
  <si>
    <t>熊家洲片区黄献路东侧沿湖路南侧B地块</t>
  </si>
  <si>
    <t>尹家湖片区经四路东侧高铁大道西侧</t>
  </si>
  <si>
    <t>≥1,≤2</t>
  </si>
  <si>
    <t>2019-09-24</t>
  </si>
  <si>
    <t>尹家湖片区经六路东侧纬五路南侧</t>
  </si>
  <si>
    <t>≥1,≤2.5</t>
  </si>
  <si>
    <t>大棋路以北圣明路以东四棵大道以南A-02</t>
  </si>
  <si>
    <t>大于或等于1并且小于2.5</t>
  </si>
  <si>
    <t>2019-09-23</t>
  </si>
  <si>
    <t>大棋路以北圣明路以东四棵大道以南A-01</t>
  </si>
  <si>
    <t>东风农场光谷大道以南迎宾大道以西地块D</t>
  </si>
  <si>
    <t>大于或等于1并且小于或等于1.2</t>
  </si>
  <si>
    <t>2019-08-06</t>
  </si>
  <si>
    <t>大冶景福康旅游开发有限公司</t>
  </si>
  <si>
    <t>1星</t>
  </si>
  <si>
    <t>东风农场光谷大道以南迎宾大道以西地块C</t>
  </si>
  <si>
    <t>东风农场光谷大道以南迎宾大道以西地块B</t>
  </si>
  <si>
    <t>东风农场光谷大道以南迎宾大道以西地块A</t>
  </si>
  <si>
    <t>还地桥镇环湖公路西北侧黄岗村地块A</t>
  </si>
  <si>
    <t>大于或等于1并且小于或等于1.1</t>
  </si>
  <si>
    <t>2019-06-21</t>
  </si>
  <si>
    <t>大冶蓝城房地产开发有限公司</t>
  </si>
  <si>
    <t>罗桥商贸新区15号路东北侧地块</t>
  </si>
  <si>
    <t>金湖大道东侧、熊家洲大道南侧A</t>
  </si>
  <si>
    <t>大冶市金銮房地产开发有限公司</t>
  </si>
  <si>
    <t>大冶大道西侧原农机公司办公区地块</t>
  </si>
  <si>
    <t>大于或等于1并且小于或等于4.8</t>
  </si>
  <si>
    <t>大冶市荣茂房地产开发有限公司</t>
  </si>
  <si>
    <t>东风路南侧原检察院地块</t>
  </si>
  <si>
    <t>大于或等于1并且小于或等于4.2</t>
  </si>
  <si>
    <t>大冶市智城峰房地产开发有限公司</t>
  </si>
  <si>
    <t>大冶大道以东原黄狮海汽车贸易有限公司地块</t>
  </si>
  <si>
    <t>大于或等于1并且小于或等于4</t>
  </si>
  <si>
    <t>罗煜</t>
  </si>
  <si>
    <t>金湖大道东侧、熊家洲大道南侧B</t>
  </si>
  <si>
    <t>武汉梁晨地产有限公司</t>
  </si>
  <si>
    <t>金山大道以北圣明路以东华家湾水库以南企业小区以西A-01地块</t>
  </si>
  <si>
    <t>2019-06-17</t>
  </si>
  <si>
    <t>黄石翡翠置业有限公司</t>
  </si>
  <si>
    <t>金山大道以北圣明路以东华家湾水库以南企业小区以西A-03地块</t>
  </si>
  <si>
    <t>金山大道以北圣明路以东华家湾水库以南企业小区以西A-05地块</t>
  </si>
  <si>
    <t>金山大道以北圣明路以东华家湾水库以南企业小区以西A-02地块</t>
  </si>
  <si>
    <t>金山大道以北圣明路以东华家湾水库以南企业小区以西A-04地块</t>
  </si>
  <si>
    <t>月亮山路以东金山大道以北A-02</t>
  </si>
  <si>
    <t>其他普通商品住房用地</t>
  </si>
  <si>
    <t>2018-12-24</t>
  </si>
  <si>
    <t>2019-03-01</t>
  </si>
  <si>
    <t>大箕铺镇熊家洲社区原银河选厂地块</t>
  </si>
  <si>
    <t>≤2.1</t>
  </si>
  <si>
    <t>大冶万圆房地产开发有限公司</t>
  </si>
  <si>
    <t>月亮山路以东金山大道以北A-03</t>
  </si>
  <si>
    <t>百花南路以西经二路以南新城大道以北地块</t>
  </si>
  <si>
    <t>≥1,≤3</t>
  </si>
  <si>
    <t>2019-02-25</t>
  </si>
  <si>
    <t>黄石欣立企业管理有限公司</t>
  </si>
  <si>
    <t>经三路东侧纬五路南侧B</t>
  </si>
  <si>
    <t>2019-01-22</t>
  </si>
  <si>
    <t>大冶嘉信房地产开发有限公司</t>
  </si>
  <si>
    <t>纬六路南侧经四路西侧</t>
  </si>
  <si>
    <t>经三路东侧纬五路南侧A</t>
  </si>
  <si>
    <t>经三路东侧纬七路南侧</t>
  </si>
  <si>
    <t>大冶金茂房地产开发有限公司</t>
  </si>
  <si>
    <t>城西路以东老看守所以南一期</t>
  </si>
  <si>
    <t>2019-01-08</t>
  </si>
  <si>
    <t>大冶市桂子置业有限公司</t>
  </si>
  <si>
    <t>还地桥镇学府路东侧、镇中学北侧</t>
  </si>
  <si>
    <t>大于或等于1并且小于或等于2.7</t>
  </si>
  <si>
    <t>大冶市恒昌置业有限公司</t>
  </si>
  <si>
    <t>金井路以西原能源公司北侧</t>
  </si>
  <si>
    <t>大于或等于1并且小于或等于1.26</t>
  </si>
  <si>
    <t>大冶市金宏置业有限公司</t>
  </si>
  <si>
    <t>镇南路以东王贵二棋还建点以北</t>
  </si>
  <si>
    <t>2018-12-30</t>
  </si>
  <si>
    <t>黄石市城发置业有限公司</t>
  </si>
  <si>
    <t>大冶湖核心区金城大道以东经四路以南园博路以北711、712、715地块</t>
  </si>
  <si>
    <t>＞1,≤2</t>
  </si>
  <si>
    <t>2018-12-18</t>
  </si>
  <si>
    <t>黄石绿地置业有限公司</t>
  </si>
  <si>
    <t>大冶湖核心区金城大道以东经三路以南704、705、706、707地块</t>
  </si>
  <si>
    <t>＞1,≤1.85</t>
  </si>
  <si>
    <t>大冶湖核心区经三路以南经四路以北708、709、710地块</t>
  </si>
  <si>
    <t>＞1,≤2.66</t>
  </si>
  <si>
    <t>大冶湖核心区金城大道以东经三路以北701、702、703地块</t>
  </si>
  <si>
    <t>＞1,≤1.9</t>
  </si>
  <si>
    <t>大冶湖核心区金城大道以东经四路以南园博路以北713、714地块</t>
  </si>
  <si>
    <t>＞1,≤1.81</t>
  </si>
  <si>
    <t>A26路以东B28路以南大棋路以北百花路以西B地块</t>
  </si>
  <si>
    <t>2018-12-06</t>
  </si>
  <si>
    <t>黄石市众邦城市住房投资有限公司</t>
  </si>
  <si>
    <t>A26路以东B28路以南大棋路以北百花路以西A地块</t>
  </si>
  <si>
    <t>大冶大道西侧供销巷以北</t>
  </si>
  <si>
    <t>大于或等于1并且小于或等于5.18</t>
  </si>
  <si>
    <t>2018-09-29</t>
  </si>
  <si>
    <t>七里路以南原华强汽车</t>
  </si>
  <si>
    <t>大于或等于1并且小于或等于4.19</t>
  </si>
  <si>
    <t>大冶中天世纪置业有限公司</t>
  </si>
  <si>
    <t>金山大道以南百花路以东鹏程大道以北C</t>
  </si>
  <si>
    <t>2018-09-20</t>
  </si>
  <si>
    <t>还地桥政府办公楼北侧、学府路西侧</t>
  </si>
  <si>
    <t>大于或等于1并且小于或等于3.2</t>
  </si>
  <si>
    <t>2018-08-28</t>
  </si>
  <si>
    <t>大冶发祥置业有限公司</t>
  </si>
  <si>
    <t>经二路东侧、纬六路南侧</t>
  </si>
  <si>
    <t>湖北大冶汉龙房地产开发有限公司</t>
  </si>
  <si>
    <t>金湖大道东侧熊家洲大道北侧B1</t>
  </si>
  <si>
    <t>大于或等于1并且小于或等于2</t>
  </si>
  <si>
    <t>2018-08-02</t>
  </si>
  <si>
    <t>快速路以东原佳兴汽修</t>
  </si>
  <si>
    <t>金湖大道东侧熊家洲大道北侧C</t>
  </si>
  <si>
    <t>汪仁组团章畈温泉以北A-04地块</t>
  </si>
  <si>
    <t>大于或等于1并且小于2</t>
  </si>
  <si>
    <t>2018-07-05</t>
  </si>
  <si>
    <t>湖北黄金山温泉度假村有限公司</t>
  </si>
  <si>
    <t>汪仁组团章畈温泉以北A-02地块</t>
  </si>
  <si>
    <t>汪仁组团章畈温泉以北A-03地块</t>
  </si>
  <si>
    <t>汪仁组团章畈温泉以北A-01地块</t>
  </si>
  <si>
    <t>还地桥镇军板路南侧金誉广场西侧</t>
  </si>
  <si>
    <t>2018-06-14</t>
  </si>
  <si>
    <t>大冶市百凯新城镇建设发展有限公司</t>
  </si>
  <si>
    <t>尹二路南侧、尹三路北侧</t>
  </si>
  <si>
    <t>2018-04-17</t>
  </si>
  <si>
    <t>大冶市交通投资有限公司</t>
  </si>
  <si>
    <t>尹二路南侧、尹四路北侧</t>
  </si>
  <si>
    <t>大于或等于1并且小于或等于1.3</t>
  </si>
  <si>
    <t>纬九路南侧、高铁大道西侧</t>
  </si>
  <si>
    <t>大于或等于2并且小于或等于2.5</t>
  </si>
  <si>
    <t>大冶市城市建设投资开发有限公司</t>
  </si>
  <si>
    <t>一号路北侧、经四路西侧</t>
  </si>
  <si>
    <t>儿童公园以南、刘建和西路以东</t>
  </si>
  <si>
    <t>金湖大道西侧、大棋路还建点东侧</t>
  </si>
  <si>
    <t>大于或等于2并且小于或等于4</t>
  </si>
  <si>
    <t>2018-02-13</t>
  </si>
  <si>
    <t>黄石市正宏房地产开发有限公司</t>
  </si>
  <si>
    <t>熊家洲片区沿湖路南侧G1</t>
  </si>
  <si>
    <t>2017-12-24</t>
  </si>
  <si>
    <t>金湖大道以西、花园路以东C</t>
  </si>
  <si>
    <t>大于或等于2并且小于或等于3</t>
  </si>
  <si>
    <t>熊家洲大道以南、春华路以东</t>
  </si>
  <si>
    <t>计算容积率</t>
    <phoneticPr fontId="228" type="noConversion"/>
  </si>
  <si>
    <t>次干道</t>
  </si>
  <si>
    <t>楼面地价</t>
  </si>
  <si>
    <t>评估楼面单价</t>
  </si>
  <si>
    <t>评估总值</t>
  </si>
  <si>
    <t>询价</t>
    <phoneticPr fontId="228" type="noConversion"/>
  </si>
  <si>
    <t>一般</t>
    <phoneticPr fontId="21" type="noConversion"/>
  </si>
  <si>
    <t>较好</t>
    <phoneticPr fontId="21" type="noConversion"/>
  </si>
  <si>
    <t>一般</t>
    <phoneticPr fontId="21" type="noConversion"/>
  </si>
  <si>
    <t>一般</t>
    <phoneticPr fontId="21" type="noConversion"/>
  </si>
  <si>
    <t>大冶四宗地估价结果</t>
    <phoneticPr fontId="228" type="noConversion"/>
  </si>
  <si>
    <t>售价</t>
    <phoneticPr fontId="228" type="noConversion"/>
  </si>
  <si>
    <t>调整后</t>
    <phoneticPr fontId="228" type="noConversion"/>
  </si>
  <si>
    <t>调整前</t>
    <phoneticPr fontId="228" type="noConversion"/>
  </si>
  <si>
    <t>地价占比</t>
    <phoneticPr fontId="228" type="noConversion"/>
  </si>
  <si>
    <t>土地评估</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</si>
</sst>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1"/>
      <color theme="10"/>
      <name val="宋体"/>
      <family val="3"/>
      <charset val="134"/>
      <scheme val="minor"/>
    </font>
    <font>
      <sz val="10.5"/>
      <color rgb="FF000000"/>
      <name val="Arial"/>
      <family val="2"/>
    </font>
    <font>
      <sz val="10.5"/>
      <color rgb="FF000000"/>
      <name val="仿宋_GB2312"/>
      <family val="3"/>
      <charset val="134"/>
    </font>
    <font>
      <sz val="11"/>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6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49" fontId="140" fillId="0" borderId="17" xfId="0" applyNumberFormat="1" applyFont="1" applyFill="1" applyBorder="1" applyAlignment="1" applyProtection="1">
      <alignment horizontal="left" vertical="center"/>
      <protection locked="0"/>
    </xf>
    <xf numFmtId="0" fontId="140" fillId="5" borderId="2" xfId="0" applyFont="1" applyFill="1" applyBorder="1" applyAlignment="1" applyProtection="1">
      <alignment vertical="center" wrapText="1"/>
    </xf>
    <xf numFmtId="0" fontId="0" fillId="0" borderId="2" xfId="0" applyBorder="1" applyAlignment="1">
      <alignment vertical="center" wrapText="1"/>
    </xf>
    <xf numFmtId="0" fontId="164" fillId="0" borderId="2" xfId="0" applyFont="1" applyBorder="1" applyAlignment="1">
      <alignment horizontal="center" vertical="center" wrapText="1"/>
    </xf>
    <xf numFmtId="0" fontId="164" fillId="0" borderId="2" xfId="0" applyFont="1" applyBorder="1" applyAlignment="1">
      <alignment horizontal="center" vertical="center"/>
    </xf>
    <xf numFmtId="0" fontId="164" fillId="0" borderId="0" xfId="0" applyFont="1">
      <alignment vertical="center"/>
    </xf>
    <xf numFmtId="9" fontId="164" fillId="0" borderId="2" xfId="0" applyNumberFormat="1" applyFont="1" applyBorder="1" applyAlignment="1">
      <alignment horizontal="center" vertical="center"/>
    </xf>
    <xf numFmtId="14" fontId="164" fillId="0" borderId="2" xfId="0" applyNumberFormat="1" applyFont="1" applyBorder="1" applyAlignment="1">
      <alignment horizontal="center" vertical="center"/>
    </xf>
    <xf numFmtId="0" fontId="164" fillId="0" borderId="2" xfId="0" applyFont="1" applyBorder="1">
      <alignment vertical="center"/>
    </xf>
    <xf numFmtId="179" fontId="71" fillId="0" borderId="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280" fillId="0" borderId="0" xfId="16">
      <alignment vertical="center"/>
    </xf>
    <xf numFmtId="0" fontId="195" fillId="13" borderId="2" xfId="0" applyFont="1" applyFill="1" applyBorder="1" applyAlignment="1">
      <alignment horizontal="center" vertical="center"/>
    </xf>
    <xf numFmtId="0" fontId="281" fillId="13" borderId="2" xfId="0" applyFont="1" applyFill="1" applyBorder="1" applyAlignment="1">
      <alignment horizontal="center" vertical="center"/>
    </xf>
    <xf numFmtId="0" fontId="281" fillId="13" borderId="2" xfId="0" applyFont="1" applyFill="1" applyBorder="1" applyAlignment="1">
      <alignment horizontal="center" vertical="center" wrapText="1"/>
    </xf>
    <xf numFmtId="0" fontId="282" fillId="13" borderId="2" xfId="0" applyFont="1" applyFill="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xf>
    <xf numFmtId="0" fontId="81" fillId="0" borderId="12" xfId="0" applyNumberFormat="1" applyFont="1" applyFill="1" applyBorder="1" applyAlignment="1" applyProtection="1">
      <alignment horizontal="left" vertical="center" wrapText="1"/>
      <protection locked="0"/>
    </xf>
    <xf numFmtId="49" fontId="144" fillId="0" borderId="7" xfId="0" applyNumberFormat="1" applyFont="1" applyFill="1" applyBorder="1" applyAlignment="1" applyProtection="1">
      <alignment horizontal="left" vertical="center" wrapText="1"/>
      <protection locked="0"/>
    </xf>
    <xf numFmtId="49" fontId="84" fillId="0" borderId="12" xfId="0" applyNumberFormat="1" applyFont="1" applyFill="1" applyBorder="1" applyAlignment="1" applyProtection="1">
      <alignment horizontal="left" vertical="center" wrapText="1"/>
      <protection locked="0"/>
    </xf>
    <xf numFmtId="0" fontId="144" fillId="0" borderId="12" xfId="0" applyFont="1" applyBorder="1" applyAlignment="1" applyProtection="1">
      <alignment horizontal="left" vertical="center" wrapText="1"/>
      <protection locked="0"/>
    </xf>
    <xf numFmtId="49" fontId="144" fillId="0" borderId="12" xfId="0" applyNumberFormat="1" applyFont="1" applyFill="1" applyBorder="1" applyAlignment="1" applyProtection="1">
      <alignment horizontal="left" vertical="center" wrapText="1"/>
      <protection locked="0"/>
    </xf>
    <xf numFmtId="0" fontId="144" fillId="0" borderId="46" xfId="0" applyFont="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2" xfId="0" applyFont="1" applyBorder="1" applyAlignment="1">
      <alignment vertical="center" wrapText="1"/>
    </xf>
    <xf numFmtId="0" fontId="144" fillId="0" borderId="74" xfId="0" applyNumberFormat="1" applyFont="1" applyFill="1" applyBorder="1" applyAlignment="1" applyProtection="1">
      <alignment horizontal="center" vertical="center" wrapText="1"/>
      <protection locked="0"/>
    </xf>
    <xf numFmtId="0" fontId="283" fillId="0" borderId="74" xfId="0" applyFont="1" applyBorder="1" applyAlignment="1" applyProtection="1">
      <alignment horizontal="center" vertical="center" wrapText="1"/>
      <protection locked="0"/>
    </xf>
    <xf numFmtId="0" fontId="0" fillId="0" borderId="3" xfId="0" applyFont="1" applyFill="1" applyBorder="1" applyAlignment="1">
      <alignment vertical="center" wrapText="1"/>
    </xf>
    <xf numFmtId="49" fontId="81" fillId="0" borderId="20"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145" fillId="0" borderId="0" xfId="0" applyFont="1" applyAlignment="1">
      <alignment horizontal="center" vertical="center" wrapText="1"/>
    </xf>
    <xf numFmtId="0" fontId="0" fillId="20" borderId="0" xfId="0" applyFill="1" applyAlignment="1">
      <alignment horizontal="center" vertical="center" wrapText="1"/>
    </xf>
    <xf numFmtId="0" fontId="0" fillId="20" borderId="0" xfId="0" applyFill="1" applyAlignment="1">
      <alignment horizontal="center" vertical="center"/>
    </xf>
    <xf numFmtId="0" fontId="0" fillId="20" borderId="0" xfId="0" applyFill="1" applyAlignment="1"/>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0" xfId="0" applyFill="1" applyAlignment="1"/>
    <xf numFmtId="0" fontId="164" fillId="0" borderId="2" xfId="0" applyFont="1" applyFill="1" applyBorder="1" applyAlignment="1">
      <alignment horizontal="center" vertical="center" wrapText="1"/>
    </xf>
    <xf numFmtId="0" fontId="164" fillId="0" borderId="2" xfId="0" applyFont="1" applyFill="1" applyBorder="1" applyAlignment="1">
      <alignment horizontal="center" vertical="center"/>
    </xf>
    <xf numFmtId="0" fontId="164" fillId="0" borderId="0" xfId="0" applyFont="1" applyBorder="1">
      <alignment vertical="center"/>
    </xf>
    <xf numFmtId="0" fontId="0" fillId="0" borderId="0" xfId="0" applyBorder="1">
      <alignment vertical="center"/>
    </xf>
    <xf numFmtId="0" fontId="164" fillId="0" borderId="0" xfId="0" applyFont="1" applyBorder="1" applyAlignment="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19" xfId="0" applyFont="1" applyBorder="1" applyAlignment="1">
      <alignment horizontal="center" vertical="center"/>
    </xf>
    <xf numFmtId="0" fontId="0" fillId="0" borderId="19" xfId="0" applyBorder="1" applyAlignment="1">
      <alignment horizontal="center" vertical="center"/>
    </xf>
    <xf numFmtId="0" fontId="273"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4" fontId="0" fillId="20" borderId="0" xfId="0" applyNumberFormat="1" applyFill="1" applyAlignment="1">
      <alignment horizontal="center" vertical="center"/>
    </xf>
    <xf numFmtId="0" fontId="145" fillId="0" borderId="0" xfId="0" applyFont="1" applyBorder="1">
      <alignment vertical="center"/>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4" Type="http://schemas.openxmlformats.org/officeDocument/2006/relationships/image" Target="../media/image10.jp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66675</xdr:rowOff>
    </xdr:from>
    <xdr:to>
      <xdr:col>10</xdr:col>
      <xdr:colOff>180975</xdr:colOff>
      <xdr:row>67</xdr:row>
      <xdr:rowOff>19050</xdr:rowOff>
    </xdr:to>
    <xdr:pic>
      <xdr:nvPicPr>
        <xdr:cNvPr id="5" name="图片 4">
          <a:extLst>
            <a:ext uri="{FF2B5EF4-FFF2-40B4-BE49-F238E27FC236}">
              <a16:creationId xmlns:a16="http://schemas.microsoft.com/office/drawing/2014/main" id="{32257E93-7C50-4888-8D93-3A99623D0C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848475"/>
          <a:ext cx="5381625" cy="5438775"/>
        </a:xfrm>
        <a:prstGeom prst="rect">
          <a:avLst/>
        </a:prstGeom>
      </xdr:spPr>
    </xdr:pic>
    <xdr:clientData/>
  </xdr:twoCellAnchor>
  <xdr:twoCellAnchor editAs="oneCell">
    <xdr:from>
      <xdr:col>0</xdr:col>
      <xdr:colOff>57150</xdr:colOff>
      <xdr:row>67</xdr:row>
      <xdr:rowOff>152400</xdr:rowOff>
    </xdr:from>
    <xdr:to>
      <xdr:col>10</xdr:col>
      <xdr:colOff>619125</xdr:colOff>
      <xdr:row>96</xdr:row>
      <xdr:rowOff>0</xdr:rowOff>
    </xdr:to>
    <xdr:pic>
      <xdr:nvPicPr>
        <xdr:cNvPr id="7" name="图片 6">
          <a:extLst>
            <a:ext uri="{FF2B5EF4-FFF2-40B4-BE49-F238E27FC236}">
              <a16:creationId xmlns:a16="http://schemas.microsoft.com/office/drawing/2014/main" id="{273E2AEA-A631-4F6A-B578-525747299F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12420600"/>
          <a:ext cx="5762625" cy="4819650"/>
        </a:xfrm>
        <a:prstGeom prst="rect">
          <a:avLst/>
        </a:prstGeom>
      </xdr:spPr>
    </xdr:pic>
    <xdr:clientData/>
  </xdr:twoCellAnchor>
  <xdr:twoCellAnchor editAs="oneCell">
    <xdr:from>
      <xdr:col>0</xdr:col>
      <xdr:colOff>0</xdr:colOff>
      <xdr:row>97</xdr:row>
      <xdr:rowOff>66675</xdr:rowOff>
    </xdr:from>
    <xdr:to>
      <xdr:col>14</xdr:col>
      <xdr:colOff>85725</xdr:colOff>
      <xdr:row>126</xdr:row>
      <xdr:rowOff>123825</xdr:rowOff>
    </xdr:to>
    <xdr:pic>
      <xdr:nvPicPr>
        <xdr:cNvPr id="9" name="图片 8">
          <a:extLst>
            <a:ext uri="{FF2B5EF4-FFF2-40B4-BE49-F238E27FC236}">
              <a16:creationId xmlns:a16="http://schemas.microsoft.com/office/drawing/2014/main" id="{B86C89E4-B32F-4618-B51C-2FB2A85C02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478375"/>
          <a:ext cx="7343775" cy="5029200"/>
        </a:xfrm>
        <a:prstGeom prst="rect">
          <a:avLst/>
        </a:prstGeom>
      </xdr:spPr>
    </xdr:pic>
    <xdr:clientData/>
  </xdr:twoCellAnchor>
  <xdr:twoCellAnchor editAs="oneCell">
    <xdr:from>
      <xdr:col>0</xdr:col>
      <xdr:colOff>9525</xdr:colOff>
      <xdr:row>9</xdr:row>
      <xdr:rowOff>152400</xdr:rowOff>
    </xdr:from>
    <xdr:to>
      <xdr:col>14</xdr:col>
      <xdr:colOff>240708</xdr:colOff>
      <xdr:row>31</xdr:row>
      <xdr:rowOff>57150</xdr:rowOff>
    </xdr:to>
    <xdr:pic>
      <xdr:nvPicPr>
        <xdr:cNvPr id="4" name="图片 3">
          <a:extLst>
            <a:ext uri="{FF2B5EF4-FFF2-40B4-BE49-F238E27FC236}">
              <a16:creationId xmlns:a16="http://schemas.microsoft.com/office/drawing/2014/main" id="{3C6D70EB-6CB6-43FD-9A1D-A8AE153D7AA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 y="2657475"/>
          <a:ext cx="7489233" cy="3676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101</xdr:row>
      <xdr:rowOff>1</xdr:rowOff>
    </xdr:from>
    <xdr:to>
      <xdr:col>11</xdr:col>
      <xdr:colOff>38100</xdr:colOff>
      <xdr:row>124</xdr:row>
      <xdr:rowOff>32273</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3033951"/>
          <a:ext cx="7781925" cy="3975622"/>
        </a:xfrm>
        <a:prstGeom prst="rect">
          <a:avLst/>
        </a:prstGeom>
      </xdr:spPr>
    </xdr:pic>
    <xdr:clientData/>
  </xdr:twoCellAnchor>
  <xdr:twoCellAnchor editAs="oneCell">
    <xdr:from>
      <xdr:col>0</xdr:col>
      <xdr:colOff>0</xdr:colOff>
      <xdr:row>124</xdr:row>
      <xdr:rowOff>171449</xdr:rowOff>
    </xdr:from>
    <xdr:to>
      <xdr:col>10</xdr:col>
      <xdr:colOff>800099</xdr:colOff>
      <xdr:row>153</xdr:row>
      <xdr:rowOff>19642</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7148749"/>
          <a:ext cx="7658099" cy="4820243"/>
        </a:xfrm>
        <a:prstGeom prst="rect">
          <a:avLst/>
        </a:prstGeom>
      </xdr:spPr>
    </xdr:pic>
    <xdr:clientData/>
  </xdr:twoCellAnchor>
  <xdr:twoCellAnchor editAs="oneCell">
    <xdr:from>
      <xdr:col>0</xdr:col>
      <xdr:colOff>0</xdr:colOff>
      <xdr:row>155</xdr:row>
      <xdr:rowOff>95250</xdr:rowOff>
    </xdr:from>
    <xdr:to>
      <xdr:col>10</xdr:col>
      <xdr:colOff>657302</xdr:colOff>
      <xdr:row>182</xdr:row>
      <xdr:rowOff>76199</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2387500"/>
          <a:ext cx="7515302" cy="4610099"/>
        </a:xfrm>
        <a:prstGeom prst="rect">
          <a:avLst/>
        </a:prstGeom>
      </xdr:spPr>
    </xdr:pic>
    <xdr:clientData/>
  </xdr:twoCellAnchor>
  <xdr:twoCellAnchor editAs="oneCell">
    <xdr:from>
      <xdr:col>11</xdr:col>
      <xdr:colOff>228600</xdr:colOff>
      <xdr:row>101</xdr:row>
      <xdr:rowOff>85725</xdr:rowOff>
    </xdr:from>
    <xdr:to>
      <xdr:col>19</xdr:col>
      <xdr:colOff>66675</xdr:colOff>
      <xdr:row>127</xdr:row>
      <xdr:rowOff>47625</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972425" y="6086475"/>
          <a:ext cx="7058025" cy="441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4</xdr:col>
      <xdr:colOff>457200</xdr:colOff>
      <xdr:row>38</xdr:row>
      <xdr:rowOff>165393</xdr:rowOff>
    </xdr:to>
    <xdr:pic>
      <xdr:nvPicPr>
        <xdr:cNvPr id="7" name="图片 6">
          <a:extLst>
            <a:ext uri="{FF2B5EF4-FFF2-40B4-BE49-F238E27FC236}">
              <a16:creationId xmlns:a16="http://schemas.microsoft.com/office/drawing/2014/main" id="{59760C8A-38FF-4560-B5B3-7050AB66EF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71600"/>
          <a:ext cx="7772400" cy="56517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0809;&#22823;&#20449;&#25176;&#25269;&#25276;&#36164;&#26009;/&#22303;&#22320;/&#31532;&#20108;&#19977;&#27425;/&#32467;&#26524;/&#22478;&#35199;&#24037;&#19994;&#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809;&#22823;&#20449;&#25176;&#25269;&#25276;&#36164;&#26009;/&#22303;&#22320;/&#31532;&#20108;&#19977;&#27425;/&#32467;&#26524;/&#22320;&#22359;A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土地信息"/>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土地案例"/>
      <sheetName val="剩余法-待开发"/>
      <sheetName val="不动产比较法-住宅"/>
      <sheetName val="开发完成后"/>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20248</v>
          </cell>
          <cell r="E14">
            <v>1291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土地信息"/>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土地案例"/>
      <sheetName val="剩余法-待开发"/>
      <sheetName val="不动产比较法-住宅"/>
      <sheetName val="不动产收益法"/>
      <sheetName val="开发完成后"/>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21099</v>
          </cell>
          <cell r="E14">
            <v>1651</v>
          </cell>
        </row>
        <row r="15">
          <cell r="D15">
            <v>16597</v>
          </cell>
          <cell r="E15">
            <v>1618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30/eyW"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2632</v>
      </c>
      <c r="B1" s="2608" t="s">
        <v>2729</v>
      </c>
    </row>
    <row r="2" spans="1:55" s="2612" customFormat="1" ht="15" thickTop="1">
      <c r="A2" s="2610" t="s">
        <v>2636</v>
      </c>
      <c r="B2" s="2611" t="str">
        <f>'预评函-封皮'!B37</f>
        <v>湖北省黄石市大冶市罗桥商贸新区新冶大道东侧、职业技术学校北侧出让国有建设用地使用权抵押价格预评估</v>
      </c>
      <c r="AX2" s="2613"/>
      <c r="AZ2" s="2613"/>
      <c r="BA2" s="2614"/>
      <c r="BC2" s="2614"/>
    </row>
    <row r="3" spans="1:55" s="2615" customFormat="1">
      <c r="A3" s="2594" t="s">
        <v>2637</v>
      </c>
      <c r="B3" s="2597" t="str">
        <f>'预评函-封皮'!B40</f>
        <v>光大兴陇信托有限责任公司</v>
      </c>
    </row>
    <row r="4" spans="1:55" s="2596" customFormat="1">
      <c r="A4" s="2594" t="s">
        <v>2638</v>
      </c>
      <c r="B4" s="2595" t="str">
        <f>'预评函-封皮'!B46</f>
        <v>崔锴、郑燚</v>
      </c>
      <c r="N4" s="2596" t="str">
        <f>'预评函-1'!A28</f>
        <v/>
      </c>
    </row>
    <row r="5" spans="1:55" s="2609" customFormat="1" ht="15" thickBot="1">
      <c r="A5" s="2616" t="s">
        <v>2639</v>
      </c>
      <c r="B5" s="2617" t="str">
        <f>'预评函-封皮'!B49</f>
        <v>康正预评字号</v>
      </c>
    </row>
    <row r="6" spans="1:55" s="2618" customFormat="1" ht="15" thickTop="1">
      <c r="A6" s="2610" t="s">
        <v>2681</v>
      </c>
      <c r="B6" s="2611" t="str">
        <f>'预评函-1'!A4</f>
        <v>受贵公司委托，我公司对湖北省黄石市大冶市罗桥商贸新区新冶大道东侧、职业技术学校北侧出让国有建设用地使用权抵押价格进行了预评估。</v>
      </c>
      <c r="AM6" s="2619"/>
    </row>
    <row r="7" spans="1:55" s="2593" customFormat="1">
      <c r="A7" s="2594" t="s">
        <v>2633</v>
      </c>
      <c r="B7" s="2595" t="str">
        <f>'预评函-1'!A6</f>
        <v>估价对象为使用的、位于湖北省黄石市大冶市罗桥商贸新区新冶大道东侧、职业技术学校北侧出让国有建设用地使用权。根据，估价对象（分摊）出让国有建设用地使用权面积为12606.51平方米。根据，估价对象规划建筑面积为37819.53平方米。</v>
      </c>
    </row>
    <row r="8" spans="1:55" s="2593" customFormat="1">
      <c r="A8" s="2594" t="s">
        <v>2634</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2684</v>
      </c>
      <c r="B9" s="2595" t="str">
        <f>'预评函-1'!A9</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55" s="2593" customFormat="1">
      <c r="A10" s="2594" t="s">
        <v>2635</v>
      </c>
      <c r="B10" s="2595" t="str">
        <f>'预评函-1'!A11</f>
        <v>2020年12月1日（评估专业人员勘察现场之日）</v>
      </c>
    </row>
    <row r="11" spans="1:55" s="2593" customFormat="1">
      <c r="A11" s="2594" t="s">
        <v>2641</v>
      </c>
      <c r="B11" s="2595" t="str">
        <f>'预评函-1'!A14</f>
        <v>根据住宅，本次评估估价对象证载（地类）用途为住宅。</v>
      </c>
    </row>
    <row r="12" spans="1:55" s="2593" customFormat="1">
      <c r="A12" s="2594" t="s">
        <v>2642</v>
      </c>
      <c r="B12" s="2595" t="str">
        <f>'预评函-1'!A15</f>
        <v>本次评估设定用途即为证载用途住宅。</v>
      </c>
    </row>
    <row r="13" spans="1:55" s="2593" customFormat="1">
      <c r="A13" s="2594" t="s">
        <v>2643</v>
      </c>
      <c r="B13" s="2595" t="str">
        <f>'预评函-1'!A17</f>
        <v>根据委托估价方介绍及评估专业人员现场勘查，本次评估估价对象实际土地开发程度为红线外市政基础设施达“七通”（即通路、通电、通上水、、、、）、宗地红线内场地平整。</v>
      </c>
    </row>
    <row r="14" spans="1:55" s="2593" customFormat="1">
      <c r="A14" s="2594" t="s">
        <v>2644</v>
      </c>
      <c r="B14" s="2595" t="str">
        <f>'预评函-1'!A18</f>
        <v>本次评估设定土地开发程度为红线外市政基础设施达“七通”、宗地红线内场地平整。</v>
      </c>
    </row>
    <row r="15" spans="1:55" s="2593" customFormat="1">
      <c r="A15" s="2594" t="s">
        <v>2640</v>
      </c>
      <c r="B15" s="2595" t="str">
        <f>'预评函-1'!A20</f>
        <v>根据，估价对象（分摊）出让国有建设用地使用权面积为12606.51平方米。根据，估价对象规划建筑面积为37819.53平方米。</v>
      </c>
    </row>
    <row r="16" spans="1:55" s="2593" customFormat="1">
      <c r="A16" s="2594" t="s">
        <v>2645</v>
      </c>
      <c r="B16" s="2595" t="str">
        <f>'预评函-1'!A22</f>
        <v>本次估价对象为出让国有建设用地使用权，住宅证载土地终止日期为住宅2090年10月10日。截至估价期日，出让国有建设用地使用权剩余土地使用年限为。</v>
      </c>
    </row>
    <row r="17" spans="1:48" s="2593" customFormat="1">
      <c r="A17" s="2594" t="s">
        <v>2646</v>
      </c>
      <c r="B17" s="2595" t="str">
        <f>'预评函-1'!A23</f>
        <v>本次评估设定估价对象剩余土地使用年限为。</v>
      </c>
    </row>
    <row r="18" spans="1:48" s="2593" customFormat="1">
      <c r="A18" s="2594" t="s">
        <v>2647</v>
      </c>
      <c r="B18" s="2595" t="str">
        <f>'预评函-1'!A25</f>
        <v>本次估价的“出让国有建设用地使用权价格”是指在估价对象土地所有权为国家所有，使用权性质为出让，在公开市场条件下、于估价期日2020年12月1日，在规划利用条件下、设定土地开发程度为红线外“七通”、宗地内场地，设定用途为住宅，剩余土地使用年限为的出让国有建设用地使用权价格。</v>
      </c>
    </row>
    <row r="19" spans="1:48" s="2593" customFormat="1">
      <c r="A19" s="2594" t="s">
        <v>2648</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2649</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2650</v>
      </c>
      <c r="B21" s="2617" t="str">
        <f>'预评函-1'!A28</f>
        <v/>
      </c>
    </row>
    <row r="22" spans="1:48" ht="15" thickTop="1">
      <c r="A22" s="2605" t="s">
        <v>2651</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2652</v>
      </c>
      <c r="B23" s="2595" t="str">
        <f>'预评函-2'!K2</f>
        <v>估价期日：2020年12月1日</v>
      </c>
    </row>
    <row r="24" spans="1:48">
      <c r="A24" s="2594" t="s">
        <v>2653</v>
      </c>
      <c r="B24" s="2595" t="str">
        <f>'预评函-2'!R2</f>
        <v>估价期日的国有建设用地使用权性质：出让</v>
      </c>
    </row>
    <row r="25" spans="1:48">
      <c r="A25" s="2594" t="s">
        <v>2709</v>
      </c>
      <c r="B25" s="2595" t="str">
        <f>'预评函-2'!A3</f>
        <v>估价期日土地使用者</v>
      </c>
    </row>
    <row r="26" spans="1:48">
      <c r="A26" s="2594" t="s">
        <v>2685</v>
      </c>
      <c r="B26" s="2595" t="str">
        <f>'预评函-2'!A5</f>
        <v>中信开发</v>
      </c>
    </row>
    <row r="27" spans="1:48">
      <c r="A27" s="2594" t="s">
        <v>2710</v>
      </c>
      <c r="B27" s="2595" t="str">
        <f>'预评函-2'!B3</f>
        <v>宗地编号/不动产单元号</v>
      </c>
    </row>
    <row r="28" spans="1:48">
      <c r="A28" s="2594" t="s">
        <v>2686</v>
      </c>
      <c r="B28" s="2595" t="str">
        <f>'预评函-2'!B5</f>
        <v>11111111111</v>
      </c>
    </row>
    <row r="29" spans="1:48">
      <c r="A29" s="2594" t="s">
        <v>2712</v>
      </c>
      <c r="B29" s="2595">
        <f>'预评函-2'!C5</f>
        <v>22</v>
      </c>
    </row>
    <row r="30" spans="1:48">
      <c r="A30" s="2594" t="s">
        <v>2713</v>
      </c>
      <c r="B30" s="2595" t="str">
        <f>'预评函-2'!D3</f>
        <v>土地使用证编号/不动产权证书编号</v>
      </c>
    </row>
    <row r="31" spans="1:48">
      <c r="A31" s="2594" t="s">
        <v>2687</v>
      </c>
      <c r="B31" s="2595" t="str">
        <f>'预评函-2'!D5</f>
        <v>京国土字第111号</v>
      </c>
    </row>
    <row r="32" spans="1:48">
      <c r="A32" s="2594" t="s">
        <v>2688</v>
      </c>
      <c r="B32" s="2595" t="str">
        <f>'预评函-2'!E5</f>
        <v>住宅</v>
      </c>
      <c r="AV32" s="2599"/>
    </row>
    <row r="33" spans="1:2">
      <c r="A33" s="2594" t="s">
        <v>2689</v>
      </c>
      <c r="B33" s="2595">
        <f>'预评函-2'!F5</f>
        <v>258</v>
      </c>
    </row>
    <row r="34" spans="1:2">
      <c r="A34" s="2594" t="s">
        <v>2690</v>
      </c>
      <c r="B34" s="2595" t="str">
        <f>'预评函-2'!G5</f>
        <v>住宅</v>
      </c>
    </row>
    <row r="35" spans="1:2">
      <c r="A35" s="2594" t="s">
        <v>2691</v>
      </c>
      <c r="B35" s="2595">
        <f>'预评函-2'!H5</f>
        <v>1.5</v>
      </c>
    </row>
    <row r="36" spans="1:2">
      <c r="A36" s="2594" t="s">
        <v>2692</v>
      </c>
      <c r="B36" s="2595">
        <f>'预评函-2'!I5</f>
        <v>1.5</v>
      </c>
    </row>
    <row r="37" spans="1:2">
      <c r="A37" s="2594" t="s">
        <v>2693</v>
      </c>
      <c r="B37" s="2595">
        <f>'预评函-2'!J5</f>
        <v>1.5</v>
      </c>
    </row>
    <row r="38" spans="1:2">
      <c r="A38" s="2594" t="s">
        <v>2694</v>
      </c>
      <c r="B38" s="2595" t="str">
        <f>'预评函-2'!K5</f>
        <v>红线外七通、宗地红线内场地平整</v>
      </c>
    </row>
    <row r="39" spans="1:2">
      <c r="A39" s="2594" t="s">
        <v>2695</v>
      </c>
      <c r="B39" s="2595" t="str">
        <f>'预评函-2'!L5</f>
        <v>红线外七通、宗地红线内场地</v>
      </c>
    </row>
    <row r="40" spans="1:2">
      <c r="A40" s="2594" t="s">
        <v>2714</v>
      </c>
      <c r="B40" s="2595" t="str">
        <f>'预评函-2'!M3</f>
        <v>（剩余）土地使用年限/年</v>
      </c>
    </row>
    <row r="41" spans="1:2">
      <c r="A41" s="2594" t="s">
        <v>2696</v>
      </c>
      <c r="B41" s="2595">
        <f>'预评函-2'!M5</f>
        <v>0</v>
      </c>
    </row>
    <row r="42" spans="1:2">
      <c r="A42" s="2594" t="s">
        <v>2715</v>
      </c>
      <c r="B42" s="2595" t="str">
        <f>'预评函-2'!N3</f>
        <v>（分摊）出让国有建设用地使用权面积/㎡</v>
      </c>
    </row>
    <row r="43" spans="1:2">
      <c r="A43" s="2594" t="s">
        <v>2697</v>
      </c>
      <c r="B43" s="2595">
        <f>'预评函-2'!N5</f>
        <v>12606.51</v>
      </c>
    </row>
    <row r="44" spans="1:2">
      <c r="A44" s="2594" t="s">
        <v>2716</v>
      </c>
      <c r="B44" s="2595" t="str">
        <f>'预评函-2'!O3</f>
        <v>规划建筑面积/㎡</v>
      </c>
    </row>
    <row r="45" spans="1:2">
      <c r="A45" s="2594" t="s">
        <v>2698</v>
      </c>
      <c r="B45" s="2595">
        <f>'预评函-2'!O5</f>
        <v>37819.53</v>
      </c>
    </row>
    <row r="46" spans="1:2">
      <c r="A46" s="2594" t="s">
        <v>2699</v>
      </c>
      <c r="B46" s="2595">
        <f ca="1">'预评函-2'!P5</f>
        <v>4352</v>
      </c>
    </row>
    <row r="47" spans="1:2">
      <c r="A47" s="2594" t="s">
        <v>2700</v>
      </c>
      <c r="B47" s="2595">
        <f ca="1">'预评函-2'!Q5</f>
        <v>1451</v>
      </c>
    </row>
    <row r="48" spans="1:2">
      <c r="A48" s="2594" t="s">
        <v>2701</v>
      </c>
      <c r="B48" s="2595">
        <f ca="1">'预评函-2'!R5</f>
        <v>5486</v>
      </c>
    </row>
    <row r="49" spans="1:2">
      <c r="A49" s="2594" t="s">
        <v>2717</v>
      </c>
      <c r="B49" s="2595" t="str">
        <f>'预评函-2'!A6</f>
        <v>抵押价格</v>
      </c>
    </row>
    <row r="50" spans="1:2">
      <c r="A50" s="2594" t="s">
        <v>2702</v>
      </c>
      <c r="B50" s="2595">
        <f ca="1">'预评函-2'!R6</f>
        <v>5486</v>
      </c>
    </row>
    <row r="51" spans="1:2">
      <c r="A51" s="2594" t="s">
        <v>2718</v>
      </c>
      <c r="B51" s="2595" t="str">
        <f>'预评函-2'!A7</f>
        <v>——</v>
      </c>
    </row>
    <row r="52" spans="1:2">
      <c r="A52" s="2594" t="s">
        <v>2703</v>
      </c>
      <c r="B52" s="2595" t="str">
        <f>'预评函-2'!R7</f>
        <v>——</v>
      </c>
    </row>
    <row r="53" spans="1:2">
      <c r="A53" s="2594" t="s">
        <v>2719</v>
      </c>
      <c r="B53" s="2595" t="str">
        <f>'预评函-2'!A8</f>
        <v>——</v>
      </c>
    </row>
    <row r="54" spans="1:2" s="2609" customFormat="1" ht="15" thickBot="1">
      <c r="A54" s="2616" t="s">
        <v>2704</v>
      </c>
      <c r="B54" s="2617" t="str">
        <f>'预评函-2'!R8</f>
        <v>——</v>
      </c>
    </row>
    <row r="55" spans="1:2" ht="15" thickTop="1">
      <c r="A55" s="2605" t="s">
        <v>2654</v>
      </c>
      <c r="B55" s="2606" t="str">
        <f>'预评函-3'!A2</f>
        <v>1.权利限制：根据估价对象、，截至估价期日，估价对象抵押权未见登记。未设定租赁等其他他项权利。</v>
      </c>
    </row>
    <row r="56" spans="1:2">
      <c r="A56" s="2594" t="s">
        <v>2655</v>
      </c>
      <c r="B56" s="2595" t="str">
        <f>'预评函-3'!A3</f>
        <v>2.基础设施条件：估价对象实际开发程度为红线外七通、宗地红线内场地平整；本次评估设定开发程度为红线外七通、宗地红线内场地。</v>
      </c>
    </row>
    <row r="57" spans="1:2">
      <c r="A57" s="2594" t="s">
        <v>2656</v>
      </c>
      <c r="B57" s="2595" t="str">
        <f>'预评函-3'!A4</f>
        <v>3.估价规划限制条件：详见。</v>
      </c>
    </row>
    <row r="58" spans="1:2" s="2609" customFormat="1" ht="15" thickBot="1">
      <c r="A58" s="2616" t="s">
        <v>2705</v>
      </c>
      <c r="B58" s="2617" t="str">
        <f>'预评函-3'!A5</f>
        <v>4.影响价格的其他限定条件：无。</v>
      </c>
    </row>
    <row r="59" spans="1:2" ht="15" thickTop="1">
      <c r="A59" s="2605" t="s">
        <v>2657</v>
      </c>
      <c r="B59" s="2606" t="str">
        <f>'预评函-3'!A8</f>
        <v>2.本《评估意见函》仅供金融机构进行内部审核使用，不做其他目的之用。</v>
      </c>
    </row>
    <row r="60" spans="1:2">
      <c r="A60" s="2594" t="s">
        <v>2658</v>
      </c>
      <c r="B60" s="2595" t="str">
        <f>'预评函-3'!A9</f>
        <v>3.抵押双方在办理抵押登记手续时，应使用本公司出具的正式《土地估价报告》，特提请报告使用者注意。</v>
      </c>
    </row>
    <row r="61" spans="1:2">
      <c r="A61" s="2594" t="s">
        <v>2660</v>
      </c>
      <c r="B61" s="2595" t="str">
        <f>'预评函-3'!A10</f>
        <v>4.估价师所知悉的法定优先受偿款情况为：</v>
      </c>
    </row>
    <row r="62" spans="1:2">
      <c r="A62" s="2594" t="s">
        <v>2659</v>
      </c>
      <c r="B62" s="2595" t="str">
        <f>'预评函-3'!A11</f>
        <v>（1）根据估价对象、，截至估价期日，估价对象抵押权未见登记。</v>
      </c>
    </row>
    <row r="63" spans="1:2">
      <c r="A63" s="2594" t="s">
        <v>2661</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2662</v>
      </c>
      <c r="B64" s="2600" t="str">
        <f>'预评函-3'!A13</f>
        <v>（3）。</v>
      </c>
    </row>
    <row r="65" spans="1:2">
      <c r="A65" s="2594" t="s">
        <v>2663</v>
      </c>
      <c r="B65" s="2601" t="str">
        <f>'预评函-3'!A14</f>
        <v>综上，本次评估不存在估价师知悉的法定优先受偿款</v>
      </c>
    </row>
    <row r="66" spans="1:2">
      <c r="A66" s="2594" t="s">
        <v>2664</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2665</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2668</v>
      </c>
      <c r="B68" s="2620">
        <f>'预评函-3'!D30</f>
        <v>42558</v>
      </c>
    </row>
    <row r="69" spans="1:2" ht="15" thickTop="1">
      <c r="A69" s="2605" t="s">
        <v>2666</v>
      </c>
      <c r="B69" s="2606" t="str">
        <f>'预评函-3'!A20</f>
        <v>崔锴</v>
      </c>
    </row>
    <row r="70" spans="1:2">
      <c r="A70" s="2594" t="s">
        <v>2666</v>
      </c>
      <c r="B70" s="2601">
        <f ca="1">'预评函-3'!B20</f>
        <v>2010110070</v>
      </c>
    </row>
    <row r="71" spans="1:2">
      <c r="A71" s="2594" t="s">
        <v>2667</v>
      </c>
      <c r="B71" s="2595" t="str">
        <f>'预评函-3'!A21</f>
        <v>郑燚</v>
      </c>
    </row>
    <row r="72" spans="1:2" s="2609" customFormat="1" ht="15" thickBot="1">
      <c r="A72" s="2616" t="s">
        <v>2667</v>
      </c>
      <c r="B72" s="2622">
        <f ca="1">'预评函-3'!B21</f>
        <v>2014110011</v>
      </c>
    </row>
    <row r="73" spans="1:2" ht="15" thickTop="1">
      <c r="A73" s="2605" t="s">
        <v>2726</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2727</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2728</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2762</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F10" sqref="F10"/>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6" t="s">
        <v>1926</v>
      </c>
      <c r="B1" s="3373" t="str">
        <f>IF(B10="北京市","北京市",C10)&amp;F10&amp;B16&amp;"国有建设用地使用权"&amp;B9&amp;"预评估"</f>
        <v>湖北省黄石市大冶市罗桥商贸新区新冶大道东侧、职业技术学校北侧出让国有建设用地使用权抵押价格预评估</v>
      </c>
      <c r="C1" s="3374"/>
      <c r="D1" s="3374"/>
      <c r="E1" s="3374"/>
      <c r="F1" s="3374"/>
      <c r="G1" s="3374"/>
      <c r="H1" s="3374"/>
      <c r="I1" s="3375"/>
      <c r="J1" s="3073"/>
      <c r="K1" s="2309" t="str">
        <f>IF(B10="北京市","北京市",C10)&amp;F10&amp;B16&amp;"国有建设用地使用权"&amp;B9</f>
        <v>湖北省黄石市大冶市罗桥商贸新区新冶大道东侧、职业技术学校北侧出让国有建设用地使用权抵押价格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湖北省黄石市大冶市罗桥商贸新区新冶大道东侧、职业技术学校北侧出让国有建设用地使用权</v>
      </c>
      <c r="L2" s="3052"/>
      <c r="M2" s="3052"/>
      <c r="N2" s="3053"/>
      <c r="O2" s="3054"/>
      <c r="P2" s="3053"/>
      <c r="Q2" s="3053"/>
      <c r="R2" s="3053"/>
      <c r="S2" s="3053"/>
      <c r="T2" s="3053"/>
      <c r="U2" s="3053"/>
    </row>
    <row r="3" spans="1:21">
      <c r="A3" s="1588" t="s">
        <v>1928</v>
      </c>
      <c r="B3" s="1589">
        <v>44166</v>
      </c>
      <c r="C3" s="2996" t="s">
        <v>1982</v>
      </c>
      <c r="D3" s="1589">
        <f>B3</f>
        <v>44166</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2987</v>
      </c>
      <c r="C4" s="1758">
        <f ca="1">SUMIF(土地估价师,B4,估价师及机构信息!E3:E16)</f>
        <v>2010110070</v>
      </c>
      <c r="D4" s="1755" t="s">
        <v>2986</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崔锴、郑燚</v>
      </c>
      <c r="L4" s="3052"/>
      <c r="M4" s="3052"/>
      <c r="N4" s="3053"/>
      <c r="O4" s="3054"/>
      <c r="P4" s="3053"/>
      <c r="Q4" s="3053"/>
      <c r="R4" s="3053"/>
      <c r="S4" s="3053"/>
      <c r="T4" s="3053"/>
      <c r="U4" s="3053"/>
    </row>
    <row r="5" spans="1:21" ht="15" thickTop="1">
      <c r="A5" s="1592" t="s">
        <v>1930</v>
      </c>
      <c r="B5" s="1702" t="s">
        <v>2989</v>
      </c>
      <c r="C5" s="1593"/>
      <c r="D5" s="1594"/>
      <c r="E5" s="3073"/>
      <c r="F5" s="3073"/>
      <c r="G5" s="3073"/>
      <c r="H5" s="3074"/>
      <c r="I5" s="3075"/>
      <c r="J5" s="3073"/>
      <c r="K5" s="3056"/>
      <c r="L5" s="3052"/>
      <c r="M5" s="3052"/>
      <c r="N5" s="3053"/>
      <c r="O5" s="3054"/>
      <c r="P5" s="3053"/>
      <c r="Q5" s="3053"/>
      <c r="R5" s="3053"/>
      <c r="S5" s="3053"/>
      <c r="T5" s="3053"/>
      <c r="U5" s="3053"/>
    </row>
    <row r="6" spans="1:21" ht="26.25">
      <c r="A6" s="1590" t="s">
        <v>2682</v>
      </c>
      <c r="B6" s="1702" t="s">
        <v>2989</v>
      </c>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2683</v>
      </c>
      <c r="B7" s="1702" t="s">
        <v>2991</v>
      </c>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2939</v>
      </c>
      <c r="C8" s="1598"/>
      <c r="D8" s="3379" t="s">
        <v>1933</v>
      </c>
      <c r="E8" s="1756" t="s">
        <v>2988</v>
      </c>
      <c r="F8" s="1599"/>
      <c r="G8" s="3074"/>
      <c r="H8" s="3074"/>
      <c r="I8" s="3077"/>
      <c r="J8" s="3073"/>
      <c r="K8" s="3056"/>
      <c r="L8" s="3052"/>
      <c r="M8" s="3052"/>
      <c r="N8" s="3053"/>
      <c r="O8" s="3054"/>
      <c r="P8" s="3053"/>
      <c r="Q8" s="3053"/>
      <c r="R8" s="3053"/>
      <c r="S8" s="3053"/>
      <c r="T8" s="3053"/>
      <c r="U8" s="3053"/>
    </row>
    <row r="9" spans="1:21" ht="15" thickBot="1">
      <c r="A9" s="2998" t="s">
        <v>1932</v>
      </c>
      <c r="B9" s="1600" t="s">
        <v>2988</v>
      </c>
      <c r="C9" s="1601"/>
      <c r="D9" s="3380"/>
      <c r="E9" s="1600" t="s">
        <v>943</v>
      </c>
      <c r="F9" s="1663"/>
      <c r="G9" s="3078"/>
      <c r="H9" s="3078"/>
      <c r="I9" s="3079"/>
      <c r="J9" s="3073"/>
      <c r="K9" s="3056"/>
      <c r="L9" s="3052"/>
      <c r="M9" s="3052"/>
      <c r="N9" s="3053"/>
      <c r="O9" s="3054"/>
      <c r="P9" s="3053"/>
      <c r="Q9" s="3053"/>
      <c r="R9" s="3053"/>
      <c r="S9" s="3053"/>
      <c r="T9" s="3053"/>
      <c r="U9" s="3053"/>
    </row>
    <row r="10" spans="1:21" ht="15" thickTop="1">
      <c r="A10" s="2999" t="s">
        <v>1985</v>
      </c>
      <c r="B10" s="1639" t="s">
        <v>2992</v>
      </c>
      <c r="C10" s="1602" t="s">
        <v>2994</v>
      </c>
      <c r="D10" s="1594"/>
      <c r="E10" s="1603" t="s">
        <v>1935</v>
      </c>
      <c r="F10" s="3275" t="s">
        <v>2993</v>
      </c>
      <c r="G10" s="1661"/>
      <c r="H10" s="1662"/>
      <c r="I10" s="1594"/>
      <c r="J10" s="3073"/>
      <c r="K10" s="3056"/>
      <c r="L10" s="3052"/>
      <c r="M10" s="3052"/>
      <c r="N10" s="3053"/>
      <c r="O10" s="3054"/>
      <c r="P10" s="3053"/>
      <c r="Q10" s="3053"/>
      <c r="R10" s="3053"/>
      <c r="S10" s="3053"/>
      <c r="T10" s="3053"/>
      <c r="U10" s="3053"/>
    </row>
    <row r="11" spans="1:21">
      <c r="A11" s="3000" t="s">
        <v>1986</v>
      </c>
      <c r="B11" s="1618" t="s">
        <v>2995</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2044</v>
      </c>
      <c r="B12" s="3376" t="s">
        <v>2998</v>
      </c>
      <c r="C12" s="3377"/>
      <c r="D12" s="3378"/>
      <c r="E12" s="3276" t="s">
        <v>2047</v>
      </c>
      <c r="F12" s="3394" t="s">
        <v>2998</v>
      </c>
      <c r="G12" s="3395"/>
      <c r="H12" s="3395"/>
      <c r="I12" s="3396"/>
      <c r="J12" s="3073"/>
      <c r="K12" s="3056"/>
      <c r="L12" s="3052"/>
      <c r="M12" s="3052"/>
      <c r="N12" s="3053"/>
      <c r="O12" s="3054"/>
      <c r="P12" s="3053"/>
      <c r="Q12" s="3053"/>
      <c r="R12" s="3053"/>
      <c r="S12" s="3053"/>
      <c r="T12" s="3053"/>
      <c r="U12" s="3053"/>
    </row>
    <row r="13" spans="1:21">
      <c r="A13" s="1610" t="s">
        <v>2045</v>
      </c>
      <c r="B13" s="3376" t="s">
        <v>2998</v>
      </c>
      <c r="C13" s="3377"/>
      <c r="D13" s="3378"/>
      <c r="E13" s="3276" t="s">
        <v>2047</v>
      </c>
      <c r="F13" s="3394" t="s">
        <v>2998</v>
      </c>
      <c r="G13" s="3395"/>
      <c r="H13" s="3395"/>
      <c r="I13" s="3396"/>
      <c r="J13" s="3073"/>
      <c r="K13" s="3056"/>
      <c r="L13" s="3052"/>
      <c r="M13" s="3052"/>
      <c r="N13" s="3053"/>
      <c r="O13" s="3054"/>
      <c r="P13" s="3053"/>
      <c r="Q13" s="3053"/>
      <c r="R13" s="3053"/>
      <c r="S13" s="3053"/>
      <c r="T13" s="3053"/>
      <c r="U13" s="3053"/>
    </row>
    <row r="14" spans="1:21">
      <c r="A14" s="1588" t="s">
        <v>2048</v>
      </c>
      <c r="B14" s="1619"/>
      <c r="C14" s="1757" t="s">
        <v>2997</v>
      </c>
      <c r="D14" s="1653" t="str">
        <f>IF(C14="不一致","是否符合证载地类范围","")</f>
        <v/>
      </c>
      <c r="E14" s="1619"/>
      <c r="F14" s="1703" t="s">
        <v>2996</v>
      </c>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42.75">
      <c r="A16" s="3001" t="s">
        <v>1936</v>
      </c>
      <c r="B16" s="1605" t="s">
        <v>2934</v>
      </c>
      <c r="C16" s="1619" t="s">
        <v>1937</v>
      </c>
      <c r="D16" s="2487" t="s">
        <v>1938</v>
      </c>
      <c r="E16" s="1642"/>
      <c r="F16" s="1642"/>
      <c r="G16" s="1642"/>
      <c r="H16" s="1642"/>
      <c r="I16" s="1609" t="s">
        <v>1943</v>
      </c>
      <c r="J16" s="3073"/>
      <c r="K16" s="2310" t="str">
        <f>IF(D17="","",D16&amp;TEXT(D17,"yyyy年m月d日;;"))</f>
        <v>住宅2090年10月10日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v>69681</v>
      </c>
      <c r="E17" s="1620"/>
      <c r="F17" s="1620"/>
      <c r="G17" s="1620"/>
      <c r="H17" s="1620"/>
      <c r="I17" s="1620"/>
      <c r="J17" s="3073"/>
      <c r="K17" s="3051" t="str">
        <f>CONCATENATE(K16,L16,M16,N16,O16,P16,Q16,R16,S16,T16,,U16)</f>
        <v>住宅2090年10月10日</v>
      </c>
      <c r="L17" s="3052"/>
      <c r="M17" s="3052"/>
      <c r="N17" s="3053"/>
      <c r="O17" s="3054"/>
      <c r="P17" s="3053"/>
      <c r="Q17" s="3053"/>
      <c r="R17" s="3053"/>
      <c r="S17" s="3053"/>
      <c r="T17" s="3053"/>
      <c r="U17" s="3053"/>
    </row>
    <row r="18" spans="1:21">
      <c r="A18" s="1679"/>
      <c r="B18" s="1606"/>
      <c r="C18" s="3002" t="s">
        <v>1945</v>
      </c>
      <c r="D18" s="1607">
        <v>70</v>
      </c>
      <c r="E18" s="1607"/>
      <c r="F18" s="1607"/>
      <c r="G18" s="1607"/>
      <c r="H18" s="1607"/>
      <c r="I18" s="1607"/>
      <c r="J18" s="3073"/>
      <c r="K18" s="3056"/>
      <c r="L18" s="3052"/>
      <c r="M18" s="3052"/>
      <c r="N18" s="3053"/>
      <c r="O18" s="3054"/>
      <c r="P18" s="3053"/>
      <c r="Q18" s="3053"/>
      <c r="R18" s="3053"/>
      <c r="S18" s="3053"/>
      <c r="T18" s="3053"/>
      <c r="U18" s="3053"/>
    </row>
    <row r="19" spans="1:21">
      <c r="A19" s="1679"/>
      <c r="B19" s="1606"/>
      <c r="C19" s="1587" t="s">
        <v>1946</v>
      </c>
      <c r="D19" s="1674">
        <f>IF(B16="出让",IF(D17="","",ROUNDDOWN(MIN((D17-$D$3)/365,D18),2)),D18)</f>
        <v>69.900000000000006</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2046</v>
      </c>
      <c r="D20" s="3391"/>
      <c r="E20" s="3392"/>
      <c r="F20" s="3392"/>
      <c r="G20" s="3392"/>
      <c r="H20" s="3392"/>
      <c r="I20" s="3393"/>
      <c r="J20" s="3073"/>
      <c r="K20" s="3056"/>
      <c r="L20" s="3052"/>
      <c r="M20" s="3052"/>
      <c r="N20" s="3053"/>
      <c r="O20" s="3054"/>
      <c r="P20" s="3053"/>
      <c r="Q20" s="3053"/>
      <c r="R20" s="3053"/>
      <c r="S20" s="3053"/>
      <c r="T20" s="3053"/>
      <c r="U20" s="3053"/>
    </row>
    <row r="21" spans="1:21">
      <c r="A21" s="1679" t="s">
        <v>1947</v>
      </c>
      <c r="B21" s="1680" t="s">
        <v>1948</v>
      </c>
      <c r="C21" s="1675">
        <f>'数据-汇总表'!E3</f>
        <v>37819.53</v>
      </c>
      <c r="D21" s="1676" t="s">
        <v>1949</v>
      </c>
      <c r="E21" s="3381"/>
      <c r="F21" s="3382"/>
      <c r="G21" s="3382"/>
      <c r="H21" s="3382"/>
      <c r="I21" s="3383"/>
      <c r="J21" s="3073"/>
      <c r="K21" s="3056"/>
      <c r="L21" s="3052"/>
      <c r="M21" s="3052"/>
      <c r="N21" s="3053"/>
      <c r="O21" s="3054"/>
      <c r="P21" s="3053"/>
      <c r="Q21" s="3053"/>
      <c r="R21" s="3053"/>
      <c r="S21" s="3053"/>
      <c r="T21" s="3053"/>
      <c r="U21" s="3053"/>
    </row>
    <row r="22" spans="1:21">
      <c r="A22" s="2801" t="s">
        <v>943</v>
      </c>
      <c r="B22" s="1588" t="s">
        <v>1950</v>
      </c>
      <c r="C22" s="1609">
        <f>'数据-汇总表'!D3</f>
        <v>12606.51</v>
      </c>
      <c r="D22" s="1610" t="s">
        <v>1949</v>
      </c>
      <c r="E22" s="3381"/>
      <c r="F22" s="3382"/>
      <c r="G22" s="3382"/>
      <c r="H22" s="3382"/>
      <c r="I22" s="3383"/>
      <c r="J22" s="3073"/>
      <c r="K22" s="3056"/>
      <c r="L22" s="3052"/>
      <c r="M22" s="3052"/>
      <c r="N22" s="3053"/>
      <c r="O22" s="3054"/>
      <c r="P22" s="3053"/>
      <c r="Q22" s="3053"/>
      <c r="R22" s="3053"/>
      <c r="S22" s="3053"/>
      <c r="T22" s="3053"/>
      <c r="U22" s="3053"/>
    </row>
    <row r="23" spans="1:21" ht="43.5" thickBot="1">
      <c r="A23" s="1681" t="s">
        <v>1951</v>
      </c>
      <c r="B23" s="1621" t="s">
        <v>1952</v>
      </c>
      <c r="C23" s="1622" t="s">
        <v>2999</v>
      </c>
      <c r="D23" s="1623" t="s">
        <v>1953</v>
      </c>
      <c r="E23" s="1624" t="s">
        <v>2999</v>
      </c>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84" t="s">
        <v>1955</v>
      </c>
      <c r="C24" s="3385"/>
      <c r="D24" s="3386" t="s">
        <v>1956</v>
      </c>
      <c r="E24" s="3387"/>
      <c r="F24" s="1628" t="s">
        <v>1957</v>
      </c>
      <c r="G24" s="3073"/>
      <c r="H24" s="3073"/>
      <c r="I24" s="3077"/>
      <c r="J24" s="3073"/>
      <c r="K24" s="3372" t="s">
        <v>1958</v>
      </c>
      <c r="L24" s="2311" t="str">
        <f>"根据估价对象"&amp;IF(B26="——",B25&amp;C25,B25&amp;C25&amp;"、"&amp;B26&amp;C26)&amp;"，"&amp;IF(C23="是","截至估价期日，估价对象已设定抵押。","截至估价期日，估价对象抵押权未见登记。")</f>
        <v>根据估价对象、，截至估价期日，估价对象抵押权未见登记。</v>
      </c>
      <c r="M24" s="1643"/>
      <c r="N24" s="3053"/>
      <c r="O24" s="3054"/>
      <c r="P24" s="3053"/>
      <c r="Q24" s="3053"/>
      <c r="R24" s="3053"/>
      <c r="S24" s="3053"/>
      <c r="T24" s="3053"/>
      <c r="U24" s="3053"/>
    </row>
    <row r="25" spans="1:21">
      <c r="A25" s="1667"/>
      <c r="B25" s="1664"/>
      <c r="C25" s="1629"/>
      <c r="D25" s="1630"/>
      <c r="E25" s="1631" t="s">
        <v>943</v>
      </c>
      <c r="F25" s="1632"/>
      <c r="G25" s="3073"/>
      <c r="H25" s="3073"/>
      <c r="I25" s="3077"/>
      <c r="J25" s="3073"/>
      <c r="K25" s="3372"/>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3"/>
      <c r="N25" s="3053"/>
      <c r="O25" s="3054"/>
      <c r="P25" s="3053"/>
      <c r="Q25" s="3053"/>
      <c r="R25" s="3053"/>
      <c r="S25" s="3053"/>
      <c r="T25" s="3053"/>
      <c r="U25" s="3053"/>
    </row>
    <row r="26" spans="1:21" ht="15" thickBot="1">
      <c r="A26" s="1668"/>
      <c r="B26" s="1665"/>
      <c r="C26" s="1629"/>
      <c r="D26" s="3074"/>
      <c r="E26" s="3074"/>
      <c r="F26" s="3080"/>
      <c r="G26" s="3073"/>
      <c r="H26" s="3073"/>
      <c r="I26" s="3077"/>
      <c r="J26" s="3073"/>
      <c r="K26" s="3372"/>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1959</v>
      </c>
      <c r="B27" s="1669" t="s">
        <v>1960</v>
      </c>
      <c r="C27" s="1633"/>
      <c r="D27" s="2492" t="s">
        <v>1960</v>
      </c>
      <c r="E27" s="1634"/>
      <c r="F27" s="3080"/>
      <c r="G27" s="3073"/>
      <c r="H27" s="3073"/>
      <c r="I27" s="3077"/>
      <c r="J27" s="3073"/>
      <c r="K27" s="3056"/>
      <c r="L27" s="3052"/>
      <c r="M27" s="3052"/>
      <c r="N27" s="3053"/>
      <c r="O27" s="3054"/>
      <c r="P27" s="3053"/>
      <c r="Q27" s="3053"/>
      <c r="R27" s="3053"/>
      <c r="S27" s="3053"/>
      <c r="T27" s="3053"/>
      <c r="U27" s="3053"/>
    </row>
    <row r="28" spans="1:21">
      <c r="A28" s="1672"/>
      <c r="B28" s="1669" t="s">
        <v>1961</v>
      </c>
      <c r="C28" s="1635"/>
      <c r="D28" s="2493" t="s">
        <v>1961</v>
      </c>
      <c r="E28" s="1636"/>
      <c r="F28" s="3080"/>
      <c r="G28" s="3073"/>
      <c r="H28" s="3073"/>
      <c r="I28" s="3077"/>
      <c r="J28" s="3073"/>
      <c r="K28" s="3056"/>
      <c r="L28" s="3052"/>
      <c r="M28" s="3052"/>
      <c r="N28" s="3053"/>
      <c r="O28" s="3054"/>
      <c r="P28" s="3053"/>
      <c r="Q28" s="3053"/>
      <c r="R28" s="3053"/>
      <c r="S28" s="3053"/>
      <c r="T28" s="3053"/>
      <c r="U28" s="3053"/>
    </row>
    <row r="29" spans="1:21">
      <c r="A29" s="1672"/>
      <c r="B29" s="1669" t="s">
        <v>1962</v>
      </c>
      <c r="C29" s="1635"/>
      <c r="D29" s="2493" t="s">
        <v>1962</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1963</v>
      </c>
      <c r="C30" s="1637"/>
      <c r="D30" s="2494" t="s">
        <v>1963</v>
      </c>
      <c r="E30" s="1638"/>
      <c r="F30" s="3081"/>
      <c r="G30" s="3078"/>
      <c r="H30" s="3078"/>
      <c r="I30" s="3079"/>
      <c r="J30" s="3073"/>
      <c r="K30" s="3056"/>
      <c r="L30" s="3052"/>
      <c r="M30" s="3052"/>
      <c r="N30" s="3053"/>
      <c r="O30" s="3054"/>
      <c r="P30" s="3053"/>
      <c r="Q30" s="3053"/>
      <c r="R30" s="3053"/>
      <c r="S30" s="3053"/>
      <c r="T30" s="3053"/>
      <c r="U30" s="3053"/>
    </row>
    <row r="31" spans="1:21" ht="15" thickTop="1">
      <c r="A31" s="3358" t="s">
        <v>1987</v>
      </c>
      <c r="B31" s="1680" t="s">
        <v>1988</v>
      </c>
      <c r="C31" s="3397" t="s">
        <v>3000</v>
      </c>
      <c r="D31" s="3398"/>
      <c r="E31" s="3073"/>
      <c r="F31" s="3073"/>
      <c r="G31" s="3073"/>
      <c r="H31" s="3073"/>
      <c r="I31" s="3077"/>
      <c r="J31" s="3073"/>
      <c r="K31" s="3059"/>
      <c r="L31" s="3053"/>
      <c r="M31" s="3053"/>
      <c r="N31" s="3053"/>
      <c r="O31" s="3053"/>
      <c r="P31" s="3053"/>
      <c r="Q31" s="3053"/>
      <c r="R31" s="3053"/>
      <c r="S31" s="3053"/>
      <c r="T31" s="3053"/>
      <c r="U31" s="3053"/>
    </row>
    <row r="32" spans="1:21">
      <c r="A32" s="3358"/>
      <c r="B32" s="1588" t="s">
        <v>1989</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58"/>
      <c r="B33" s="1588" t="s">
        <v>1990</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59"/>
      <c r="B34" s="1588" t="s">
        <v>1991</v>
      </c>
      <c r="C34" s="3360"/>
      <c r="D34" s="3361"/>
      <c r="E34" s="3073"/>
      <c r="F34" s="3073"/>
      <c r="G34" s="3073"/>
      <c r="H34" s="3073"/>
      <c r="I34" s="3077"/>
      <c r="J34" s="3073"/>
      <c r="K34" s="3059"/>
      <c r="L34" s="3053"/>
      <c r="M34" s="3053"/>
      <c r="N34" s="3053"/>
      <c r="O34" s="3053"/>
      <c r="P34" s="3053"/>
      <c r="Q34" s="3053"/>
      <c r="R34" s="3053"/>
      <c r="S34" s="3053"/>
      <c r="T34" s="3053"/>
      <c r="U34" s="3053"/>
    </row>
    <row r="35" spans="1:28">
      <c r="A35" s="3362" t="s">
        <v>839</v>
      </c>
      <c r="B35" s="1642" t="s">
        <v>3001</v>
      </c>
      <c r="C35" s="1689" t="str">
        <f>IF(B35="场地平整","——","具体情况：")</f>
        <v>——</v>
      </c>
      <c r="D35" s="3364"/>
      <c r="E35" s="3365"/>
      <c r="F35" s="3365"/>
      <c r="G35" s="3365"/>
      <c r="H35" s="3365"/>
      <c r="I35" s="3366"/>
      <c r="J35" s="3073"/>
      <c r="K35" s="3060"/>
      <c r="L35" s="3052"/>
      <c r="M35" s="3052"/>
      <c r="N35" s="3053"/>
      <c r="O35" s="3054"/>
      <c r="P35" s="3053"/>
      <c r="Q35" s="3053"/>
      <c r="R35" s="3053"/>
      <c r="S35" s="3053"/>
      <c r="T35" s="3053"/>
      <c r="U35" s="3053"/>
    </row>
    <row r="36" spans="1:28">
      <c r="A36" s="3358"/>
      <c r="B36" s="3367" t="s">
        <v>2040</v>
      </c>
      <c r="C36" s="3368"/>
      <c r="D36" s="1705"/>
      <c r="E36" s="3369"/>
      <c r="F36" s="3369"/>
      <c r="G36" s="1610" t="str">
        <f>IF(B35="场地未平整","估价结果处理","")</f>
        <v/>
      </c>
      <c r="H36" s="3370"/>
      <c r="I36" s="3370"/>
      <c r="J36" s="3073"/>
      <c r="K36" s="3060"/>
      <c r="L36" s="3052"/>
      <c r="M36" s="3052"/>
      <c r="N36" s="3053"/>
      <c r="O36" s="3054"/>
      <c r="P36" s="3053"/>
      <c r="Q36" s="3053"/>
      <c r="R36" s="3053"/>
      <c r="S36" s="3053"/>
      <c r="T36" s="3053"/>
      <c r="U36" s="3053"/>
    </row>
    <row r="37" spans="1:28" ht="28.5">
      <c r="A37" s="3358"/>
      <c r="B37" s="3388"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58"/>
      <c r="B38" s="3389"/>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59"/>
      <c r="B39" s="3390"/>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1964</v>
      </c>
      <c r="B40" s="1611" t="s">
        <v>3002</v>
      </c>
      <c r="C40" s="1611" t="s">
        <v>3003</v>
      </c>
      <c r="D40" s="1611" t="s">
        <v>3004</v>
      </c>
      <c r="E40" s="1611"/>
      <c r="F40" s="1611"/>
      <c r="G40" s="1611"/>
      <c r="H40" s="1611"/>
      <c r="I40" s="3077"/>
      <c r="J40" s="3073"/>
      <c r="K40" s="3021">
        <f>COUNTIF(B40:H40,"——")</f>
        <v>0</v>
      </c>
      <c r="L40" s="1619" t="s">
        <v>1965</v>
      </c>
      <c r="M40" s="1616" t="s">
        <v>1966</v>
      </c>
      <c r="N40" s="1616" t="s">
        <v>1967</v>
      </c>
      <c r="O40" s="1616" t="s">
        <v>1968</v>
      </c>
      <c r="P40" s="1616" t="s">
        <v>1969</v>
      </c>
      <c r="Q40" s="1616" t="s">
        <v>1970</v>
      </c>
      <c r="R40" s="1616" t="s">
        <v>1971</v>
      </c>
      <c r="S40" s="3371" t="s">
        <v>1972</v>
      </c>
      <c r="T40" s="1651" t="str">
        <f>NUMBERSTRING(7-K40,1)&amp;"通"</f>
        <v>七通</v>
      </c>
      <c r="U40" s="3053"/>
    </row>
    <row r="41" spans="1:28" ht="28.5">
      <c r="A41" s="1590"/>
      <c r="B41" s="3363" t="s">
        <v>1712</v>
      </c>
      <c r="C41" s="3363"/>
      <c r="D41" s="3363"/>
      <c r="E41" s="3363"/>
      <c r="F41" s="1652" t="str">
        <f>C10</f>
        <v>湖北省黄石市</v>
      </c>
      <c r="G41" s="3073"/>
      <c r="H41" s="3073"/>
      <c r="I41" s="3077"/>
      <c r="J41" s="3073"/>
      <c r="K41" s="1619"/>
      <c r="L41" s="1616" t="str">
        <f>B40</f>
        <v>通路</v>
      </c>
      <c r="M41" s="1653" t="str">
        <f>B40&amp;"、"&amp;C40</f>
        <v>通路、通电</v>
      </c>
      <c r="N41" s="1654" t="str">
        <f>B40&amp;"、"&amp;C40&amp;"、"&amp;D40</f>
        <v>通路、通电、通上水</v>
      </c>
      <c r="O41" s="1654" t="str">
        <f>B40&amp;"、"&amp;C40&amp;"、"&amp;D40&amp;"、"&amp;E40</f>
        <v>通路、通电、通上水、</v>
      </c>
      <c r="P41" s="1654" t="str">
        <f>B40&amp;"、"&amp;C40&amp;"、"&amp;D40&amp;"、"&amp;E40&amp;"、"&amp;F40</f>
        <v>通路、通电、通上水、、</v>
      </c>
      <c r="Q41" s="1654" t="str">
        <f>B40&amp;"、"&amp;C40&amp;"、"&amp;D40&amp;"、"&amp;E40&amp;"、"&amp;F40&amp;"、"&amp;G40</f>
        <v>通路、通电、通上水、、、</v>
      </c>
      <c r="R41" s="1654" t="str">
        <f>B40&amp;"、"&amp;C40&amp;"、"&amp;D40&amp;"、"&amp;E40&amp;"、"&amp;F40&amp;"、"&amp;G40&amp;"、"&amp;H40</f>
        <v>通路、通电、通上水、、、、</v>
      </c>
      <c r="S41" s="3371"/>
      <c r="T41" s="1653" t="str">
        <f>IF(T40="一通",L41,IF(T40="二通",M41,IF(T40="三通",N41,IF(T40="四通",O41,IF(T40="五通",P41,IF(T40="六通",Q41,R41))))))</f>
        <v>通路、通电、通上水、、、、</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2863</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1992</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1993</v>
      </c>
      <c r="B48" s="1609" t="s">
        <v>1994</v>
      </c>
      <c r="C48" s="1609" t="s">
        <v>1995</v>
      </c>
      <c r="D48" s="1609" t="s">
        <v>1996</v>
      </c>
      <c r="E48" s="1609" t="s">
        <v>1997</v>
      </c>
      <c r="F48" s="1609" t="s">
        <v>1998</v>
      </c>
      <c r="G48" s="1609" t="s">
        <v>1999</v>
      </c>
      <c r="H48" s="1609" t="s">
        <v>2000</v>
      </c>
      <c r="I48" s="1609" t="s">
        <v>2001</v>
      </c>
      <c r="J48" s="1688" t="s">
        <v>2002</v>
      </c>
      <c r="K48" s="3066" t="s">
        <v>2003</v>
      </c>
      <c r="L48" s="3066" t="s">
        <v>2004</v>
      </c>
      <c r="M48" s="3066" t="s">
        <v>2005</v>
      </c>
      <c r="N48" s="3067" t="s">
        <v>2006</v>
      </c>
      <c r="O48" s="3067" t="s">
        <v>2007</v>
      </c>
      <c r="P48" s="3067" t="s">
        <v>2008</v>
      </c>
      <c r="Q48" s="3058" t="s">
        <v>2009</v>
      </c>
      <c r="R48" s="3058" t="s">
        <v>2010</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2316</v>
      </c>
      <c r="BA2" s="2219" t="s">
        <v>2315</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12606.51</v>
      </c>
      <c r="B3" s="22">
        <f>IF(C3="否",G5-AT5,G5)</f>
        <v>37819.53</v>
      </c>
      <c r="C3" s="23" t="s">
        <v>2999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37819.53</v>
      </c>
      <c r="H5" s="27">
        <f t="shared" ref="H5:AT5" si="0">SUM(H13:H641)</f>
        <v>37819.53</v>
      </c>
      <c r="I5" s="27">
        <f t="shared" si="0"/>
        <v>37819.53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37819.53</v>
      </c>
      <c r="BA5" s="29">
        <f t="shared" si="1"/>
        <v>37819.53</v>
      </c>
      <c r="BB5" s="29">
        <f t="shared" si="1"/>
        <v>37819.53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12606.51</v>
      </c>
      <c r="F6" s="27" t="s">
        <v>1</v>
      </c>
      <c r="G6" s="27" t="s">
        <v>2</v>
      </c>
      <c r="H6" s="33">
        <f>SUMIF(I$12:AB$12,"总值",I6:AB6)</f>
        <v>12606.51</v>
      </c>
      <c r="I6" s="27">
        <f t="shared" ref="I6:AB6" si="2">ROUND($A$3*I5/$B$3,2)</f>
        <v>12606.51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12606.51</v>
      </c>
      <c r="AZ6" s="27" t="s">
        <v>3</v>
      </c>
      <c r="BA6" s="27">
        <f>ROUND($AY$6*BA5/$AZ$5,2)</f>
        <v>12606.51</v>
      </c>
      <c r="BB6" s="27">
        <f>ROUND($AY$6*BB5/$AZ$5,2)</f>
        <v>12606.51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3"/>
      <c r="L10" s="51"/>
      <c r="M10" s="2733"/>
      <c r="N10" s="51"/>
      <c r="O10" s="66"/>
      <c r="P10" s="51"/>
      <c r="Q10" s="66"/>
      <c r="R10" s="51"/>
      <c r="S10" s="66"/>
      <c r="T10" s="51"/>
      <c r="U10" s="66"/>
      <c r="V10" s="51"/>
      <c r="W10" s="66"/>
      <c r="X10" s="51"/>
      <c r="Y10" s="66"/>
      <c r="Z10" s="51"/>
      <c r="AA10" s="66"/>
      <c r="AB10" s="51"/>
      <c r="AC10" s="55"/>
      <c r="AD10" s="2193" t="s">
        <v>2302</v>
      </c>
      <c r="AE10" s="2215"/>
      <c r="AF10" s="2193" t="s">
        <v>2302</v>
      </c>
      <c r="AG10" s="2215"/>
      <c r="AH10" s="2193" t="s">
        <v>2303</v>
      </c>
      <c r="AI10" s="2215"/>
      <c r="AJ10" s="26" t="s">
        <v>2314</v>
      </c>
      <c r="AK10" s="2212"/>
      <c r="AL10" s="2193" t="s">
        <v>2304</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2313</v>
      </c>
      <c r="AE11" s="990"/>
      <c r="AF11" s="2213" t="s">
        <v>2313</v>
      </c>
      <c r="AG11" s="990"/>
      <c r="AH11" s="2213" t="s">
        <v>2312</v>
      </c>
      <c r="AI11" s="2214"/>
      <c r="AJ11" s="2213" t="s">
        <v>2312</v>
      </c>
      <c r="AK11" s="2212"/>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12606.51</v>
      </c>
      <c r="F13" s="81"/>
      <c r="G13" s="82">
        <f t="shared" ref="G13:G20" si="7">H13+AC13+AT13</f>
        <v>37819.53</v>
      </c>
      <c r="H13" s="33">
        <f t="shared" ref="H13:H20" si="8">SUMIF(I$12:AB$12,"总值",I13:AB13)</f>
        <v>37819.53</v>
      </c>
      <c r="I13" s="2730">
        <f>A3*3</f>
        <v>37819.53</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12606.51</v>
      </c>
      <c r="AZ13" s="27">
        <f t="shared" ref="AZ13:AZ20" si="12">BA13+BL13</f>
        <v>37819.53</v>
      </c>
      <c r="BA13" s="27">
        <f t="shared" ref="BA13:BA20" si="13">SUM(BB13:BK13)</f>
        <v>37819.53</v>
      </c>
      <c r="BB13" s="27">
        <f t="shared" ref="BB13:BB20" si="14">IF($D13="是",I13-J13,0)</f>
        <v>37819.53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9" t="s">
        <v>0</v>
      </c>
      <c r="B1" s="3399" t="s">
        <v>4</v>
      </c>
      <c r="C1" s="3399" t="s">
        <v>5</v>
      </c>
      <c r="D1" s="3400" t="s">
        <v>40</v>
      </c>
      <c r="E1" s="3400" t="s">
        <v>41</v>
      </c>
      <c r="F1" s="3400"/>
      <c r="G1" s="3400"/>
      <c r="H1" s="3400"/>
      <c r="I1" s="3400"/>
      <c r="J1" s="3400"/>
      <c r="K1" s="3400"/>
      <c r="L1" s="3400"/>
      <c r="M1" s="3400"/>
    </row>
    <row r="2" spans="1:13" ht="27" customHeight="1">
      <c r="A2" s="3399"/>
      <c r="B2" s="3399"/>
      <c r="C2" s="3399"/>
      <c r="D2" s="3400"/>
      <c r="E2" s="3400" t="s">
        <v>24</v>
      </c>
      <c r="F2" s="3400" t="s">
        <v>25</v>
      </c>
      <c r="G2" s="3400"/>
      <c r="H2" s="3400"/>
      <c r="I2" s="3400"/>
      <c r="J2" s="3400" t="s">
        <v>26</v>
      </c>
      <c r="K2" s="3400"/>
      <c r="L2" s="3400"/>
      <c r="M2" s="3400"/>
    </row>
    <row r="3" spans="1:13" ht="28.5">
      <c r="A3" s="3399"/>
      <c r="B3" s="3399"/>
      <c r="C3" s="3399"/>
      <c r="D3" s="3400"/>
      <c r="E3" s="34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0" t="s">
        <v>42</v>
      </c>
      <c r="B9" s="3400"/>
      <c r="C9" s="34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21"/>
  <sheetViews>
    <sheetView topLeftCell="G1" workbookViewId="0">
      <selection activeCell="S10" sqref="S10"/>
    </sheetView>
  </sheetViews>
  <sheetFormatPr defaultRowHeight="13.5"/>
  <cols>
    <col min="1" max="1" width="5.75" customWidth="1"/>
    <col min="2" max="2" width="6.375" customWidth="1"/>
    <col min="3" max="3" width="17.375" customWidth="1"/>
    <col min="5" max="6" width="0" hidden="1" customWidth="1"/>
    <col min="8" max="8" width="0" hidden="1" customWidth="1"/>
    <col min="9" max="9" width="11.75" customWidth="1"/>
    <col min="14" max="14" width="0" hidden="1" customWidth="1"/>
    <col min="18" max="18" width="9" style="3325"/>
    <col min="19" max="19" width="12.75" style="3325" bestFit="1" customWidth="1"/>
  </cols>
  <sheetData>
    <row r="1" spans="1:21" ht="27.75" customHeight="1">
      <c r="A1" s="3403" t="s">
        <v>3362</v>
      </c>
      <c r="B1" s="3403"/>
      <c r="C1" s="3403"/>
      <c r="D1" s="3403"/>
      <c r="E1" s="3403"/>
      <c r="F1" s="3403"/>
      <c r="G1" s="3403"/>
      <c r="H1" s="3403"/>
      <c r="I1" s="3403"/>
      <c r="J1" s="3403"/>
      <c r="K1" s="3403"/>
      <c r="L1" s="3403"/>
      <c r="M1" s="3403"/>
      <c r="N1" s="3403"/>
      <c r="O1" s="3403"/>
      <c r="P1" s="3403"/>
      <c r="Q1" s="3403"/>
      <c r="T1" s="3401" t="s">
        <v>3357</v>
      </c>
      <c r="U1" s="3402"/>
    </row>
    <row r="2" spans="1:21" s="3280" customFormat="1" ht="24">
      <c r="A2" s="3278" t="s">
        <v>3117</v>
      </c>
      <c r="B2" s="3278" t="s">
        <v>3118</v>
      </c>
      <c r="C2" s="3278" t="s">
        <v>3119</v>
      </c>
      <c r="D2" s="3278" t="s">
        <v>2901</v>
      </c>
      <c r="E2" s="3278" t="s">
        <v>3120</v>
      </c>
      <c r="F2" s="3278" t="s">
        <v>3121</v>
      </c>
      <c r="G2" s="3278" t="s">
        <v>3122</v>
      </c>
      <c r="H2" s="3278" t="s">
        <v>3123</v>
      </c>
      <c r="I2" s="3278" t="s">
        <v>3124</v>
      </c>
      <c r="J2" s="3278" t="s">
        <v>3125</v>
      </c>
      <c r="K2" s="3278" t="s">
        <v>3126</v>
      </c>
      <c r="L2" s="3278" t="s">
        <v>2924</v>
      </c>
      <c r="M2" s="3278" t="s">
        <v>3127</v>
      </c>
      <c r="N2" s="3278" t="s">
        <v>3128</v>
      </c>
      <c r="O2" s="3278" t="s">
        <v>3129</v>
      </c>
      <c r="P2" s="3278" t="s">
        <v>3130</v>
      </c>
      <c r="Q2" s="3278" t="s">
        <v>3131</v>
      </c>
      <c r="R2" s="3324"/>
      <c r="S2" s="3324"/>
      <c r="T2" s="3322" t="s">
        <v>3355</v>
      </c>
      <c r="U2" s="3322" t="s">
        <v>3356</v>
      </c>
    </row>
    <row r="3" spans="1:21" s="3283" customFormat="1" ht="36">
      <c r="A3" s="3279">
        <v>1</v>
      </c>
      <c r="B3" s="3279"/>
      <c r="C3" s="3278" t="s">
        <v>3135</v>
      </c>
      <c r="D3" s="3279">
        <f>E3+F3</f>
        <v>12606.51</v>
      </c>
      <c r="E3" s="3279">
        <v>11976</v>
      </c>
      <c r="F3" s="3279">
        <v>630.51</v>
      </c>
      <c r="G3" s="3279">
        <v>3</v>
      </c>
      <c r="H3" s="3281">
        <v>0.05</v>
      </c>
      <c r="I3" s="3282">
        <v>44114</v>
      </c>
      <c r="J3" s="3279">
        <v>3300</v>
      </c>
      <c r="K3" s="3279">
        <v>2617.69</v>
      </c>
      <c r="L3" s="3279">
        <f>K3/G3</f>
        <v>872.56333333333339</v>
      </c>
      <c r="M3" s="3279">
        <f>ROUND(D3/666.67,0)</f>
        <v>19</v>
      </c>
      <c r="N3" s="3279"/>
      <c r="O3" s="3279">
        <f ca="1">系统读取表!E14</f>
        <v>1451</v>
      </c>
      <c r="P3" s="3279">
        <f ca="1">结果表!G19</f>
        <v>5486</v>
      </c>
      <c r="Q3" s="3279">
        <f ca="1">ROUND(P3/D3*666.67,0)</f>
        <v>290</v>
      </c>
      <c r="R3" s="3324">
        <f ca="1">P3+P4</f>
        <v>25734</v>
      </c>
      <c r="S3" s="3324">
        <f>2/0.8</f>
        <v>2.5</v>
      </c>
      <c r="T3" s="3279">
        <v>1413</v>
      </c>
      <c r="U3" s="3279">
        <v>5343</v>
      </c>
    </row>
    <row r="4" spans="1:21" s="3283" customFormat="1" ht="24">
      <c r="A4" s="3279">
        <v>2</v>
      </c>
      <c r="B4" s="3279"/>
      <c r="C4" s="3278" t="s">
        <v>3132</v>
      </c>
      <c r="D4" s="3279">
        <v>52274.06</v>
      </c>
      <c r="E4" s="3279">
        <v>49661</v>
      </c>
      <c r="F4" s="3279">
        <v>2613.056</v>
      </c>
      <c r="G4" s="3279">
        <v>3</v>
      </c>
      <c r="H4" s="3281">
        <v>0.05</v>
      </c>
      <c r="I4" s="3282">
        <v>44145</v>
      </c>
      <c r="J4" s="3279">
        <v>12400</v>
      </c>
      <c r="K4" s="3279">
        <v>2372.11</v>
      </c>
      <c r="L4" s="3279">
        <f t="shared" ref="L4" si="0">K4/G4</f>
        <v>790.70333333333338</v>
      </c>
      <c r="M4" s="3323">
        <f>ROUND(D4/666.67,0)</f>
        <v>78</v>
      </c>
      <c r="N4" s="3323"/>
      <c r="O4" s="3323">
        <f ca="1">[1]系统读取表!$E$14</f>
        <v>1291</v>
      </c>
      <c r="P4" s="3323">
        <f ca="1">[1]系统读取表!$D$14</f>
        <v>20248</v>
      </c>
      <c r="Q4" s="3323">
        <f ca="1">ROUND(P4/D4*666.67,0)</f>
        <v>258</v>
      </c>
      <c r="R4" s="3324"/>
      <c r="S4" s="3324"/>
      <c r="T4" s="3323">
        <v>1266</v>
      </c>
      <c r="U4" s="3279">
        <v>19854</v>
      </c>
    </row>
    <row r="5" spans="1:21" s="3283" customFormat="1" ht="24">
      <c r="A5" s="3279">
        <v>3</v>
      </c>
      <c r="B5" s="3279"/>
      <c r="C5" s="3278" t="s">
        <v>3133</v>
      </c>
      <c r="D5" s="3279">
        <v>42585.82</v>
      </c>
      <c r="E5" s="3279">
        <v>40456</v>
      </c>
      <c r="F5" s="3279">
        <v>2129.8200000000002</v>
      </c>
      <c r="G5" s="3279">
        <v>3</v>
      </c>
      <c r="H5" s="3281">
        <v>0.05</v>
      </c>
      <c r="I5" s="3282">
        <v>44145</v>
      </c>
      <c r="J5" s="3279">
        <v>11000</v>
      </c>
      <c r="K5" s="3279">
        <v>2583.0100000000002</v>
      </c>
      <c r="L5" s="3279">
        <f>K5/G5</f>
        <v>861.00333333333344</v>
      </c>
      <c r="M5" s="3323">
        <f>ROUND(D5/666.67,0)</f>
        <v>64</v>
      </c>
      <c r="N5" s="3323"/>
      <c r="O5" s="3323">
        <f ca="1">[2]系统读取表!$E$14</f>
        <v>1651</v>
      </c>
      <c r="P5" s="3323">
        <f ca="1">[2]系统读取表!$D$14</f>
        <v>21099</v>
      </c>
      <c r="Q5" s="3323">
        <f ca="1">ROUND(P5/D5*666.67,0)</f>
        <v>330</v>
      </c>
      <c r="R5" s="3324">
        <f ca="1">P5+P6</f>
        <v>37696</v>
      </c>
      <c r="S5" s="3324">
        <f>3/0.8</f>
        <v>3.75</v>
      </c>
      <c r="T5" s="3279">
        <v>1470</v>
      </c>
      <c r="U5" s="3279">
        <v>20023</v>
      </c>
    </row>
    <row r="6" spans="1:21" s="3283" customFormat="1" ht="24">
      <c r="A6" s="3279">
        <v>4</v>
      </c>
      <c r="B6" s="3279"/>
      <c r="C6" s="3278" t="s">
        <v>3134</v>
      </c>
      <c r="D6" s="3279">
        <v>34191.71</v>
      </c>
      <c r="E6" s="3279">
        <v>32482</v>
      </c>
      <c r="F6" s="3279">
        <v>1709.71</v>
      </c>
      <c r="G6" s="3279">
        <v>3</v>
      </c>
      <c r="H6" s="3281">
        <v>0.05</v>
      </c>
      <c r="I6" s="3282">
        <v>44145</v>
      </c>
      <c r="J6" s="3279">
        <v>8950</v>
      </c>
      <c r="K6" s="3279">
        <v>2617.59</v>
      </c>
      <c r="L6" s="3279">
        <f>K6/G6</f>
        <v>872.53000000000009</v>
      </c>
      <c r="M6" s="3323">
        <f>ROUND(D6/666.67,0)</f>
        <v>51</v>
      </c>
      <c r="N6" s="3323"/>
      <c r="O6" s="3323">
        <f ca="1">[2]系统读取表!$E$15</f>
        <v>1618</v>
      </c>
      <c r="P6" s="3323">
        <f ca="1">[2]系统读取表!$D$15</f>
        <v>16597</v>
      </c>
      <c r="Q6" s="3323">
        <f ca="1">ROUND(P6/D6*666.67,0)</f>
        <v>324</v>
      </c>
      <c r="R6" s="3324"/>
      <c r="S6" s="3324"/>
      <c r="T6" s="3279">
        <v>1470</v>
      </c>
      <c r="U6" s="3279">
        <v>18120</v>
      </c>
    </row>
    <row r="7" spans="1:21" s="3280" customFormat="1" ht="12">
      <c r="A7" s="3279"/>
      <c r="B7" s="3279"/>
      <c r="C7" s="3279"/>
      <c r="D7" s="3279">
        <f>SUM(D3:D6)</f>
        <v>141658.1</v>
      </c>
      <c r="E7" s="3279"/>
      <c r="F7" s="3279"/>
      <c r="G7" s="3279"/>
      <c r="H7" s="3279"/>
      <c r="I7" s="3279"/>
      <c r="J7" s="3279">
        <f>SUM(J3:J6)</f>
        <v>35650</v>
      </c>
      <c r="K7" s="3279"/>
      <c r="L7" s="3279"/>
      <c r="M7" s="3279"/>
      <c r="N7" s="3279"/>
      <c r="O7" s="3279"/>
      <c r="P7" s="3279">
        <f ca="1">SUM(P3:P6)</f>
        <v>63430</v>
      </c>
      <c r="Q7" s="3279"/>
      <c r="R7" s="3324">
        <f ca="1">R5/(D5+D6)/G5*10000</f>
        <v>1636.5899415275971</v>
      </c>
      <c r="S7" s="3324"/>
      <c r="T7" s="3283"/>
      <c r="U7" s="3279">
        <v>63340</v>
      </c>
    </row>
    <row r="8" spans="1:21" s="3280" customFormat="1" ht="12">
      <c r="A8" s="3324"/>
      <c r="B8" s="3324"/>
      <c r="C8" s="3324"/>
      <c r="D8" s="3324"/>
      <c r="E8" s="3324"/>
      <c r="F8" s="3324"/>
      <c r="G8" s="3324"/>
      <c r="H8" s="3324"/>
      <c r="I8" s="3324"/>
      <c r="J8" s="3326"/>
      <c r="K8" s="3324"/>
      <c r="L8" s="3324"/>
      <c r="M8" s="3324"/>
      <c r="N8" s="3324"/>
      <c r="O8" s="3324"/>
      <c r="P8" s="3326"/>
      <c r="Q8" s="3324"/>
      <c r="R8" s="3324"/>
      <c r="S8" s="3324"/>
      <c r="T8" s="3324"/>
      <c r="U8" s="3326"/>
    </row>
    <row r="9" spans="1:21">
      <c r="P9" s="3245" t="s">
        <v>3137</v>
      </c>
      <c r="R9"/>
      <c r="S9"/>
    </row>
    <row r="10" spans="1:21">
      <c r="P10" s="3286" t="s">
        <v>3136</v>
      </c>
      <c r="R10"/>
      <c r="S10"/>
    </row>
    <row r="11" spans="1:21">
      <c r="R11"/>
      <c r="S11"/>
    </row>
    <row r="12" spans="1:21">
      <c r="P12" s="3287" t="s">
        <v>3138</v>
      </c>
      <c r="Q12" s="3288" t="s">
        <v>3139</v>
      </c>
      <c r="R12" s="3288" t="s">
        <v>3140</v>
      </c>
      <c r="S12" s="3288" t="s">
        <v>3141</v>
      </c>
      <c r="T12" s="3288" t="s">
        <v>3142</v>
      </c>
    </row>
    <row r="13" spans="1:21">
      <c r="P13" s="3288">
        <v>2018</v>
      </c>
      <c r="Q13" s="3289">
        <v>2.15</v>
      </c>
      <c r="R13" s="3289">
        <v>2.29</v>
      </c>
      <c r="S13" s="3289">
        <v>1.77</v>
      </c>
      <c r="T13" s="3288">
        <v>1.81</v>
      </c>
    </row>
    <row r="14" spans="1:21">
      <c r="P14" s="3288">
        <v>2019</v>
      </c>
      <c r="Q14" s="3289">
        <v>1.45</v>
      </c>
      <c r="R14" s="3289">
        <v>1.05</v>
      </c>
      <c r="S14" s="3289">
        <v>0.97</v>
      </c>
      <c r="T14" s="3290">
        <v>1.06</v>
      </c>
    </row>
    <row r="15" spans="1:21">
      <c r="P15" s="3288">
        <v>2020</v>
      </c>
      <c r="Q15" s="3291">
        <v>-0.24</v>
      </c>
      <c r="R15" s="3291">
        <v>0.82</v>
      </c>
      <c r="S15" s="3292">
        <v>1.42</v>
      </c>
      <c r="T15" s="3292" t="s">
        <v>3143</v>
      </c>
    </row>
    <row r="18" spans="16:19">
      <c r="Q18" s="3245" t="s">
        <v>3364</v>
      </c>
      <c r="R18" s="3647" t="s">
        <v>3365</v>
      </c>
    </row>
    <row r="19" spans="16:19">
      <c r="P19" s="3245" t="s">
        <v>3367</v>
      </c>
      <c r="Q19">
        <v>1637</v>
      </c>
      <c r="R19" s="3325">
        <v>1488</v>
      </c>
      <c r="S19" s="3325">
        <f>Q19/R19-1</f>
        <v>0.1001344086021505</v>
      </c>
    </row>
    <row r="20" spans="16:19">
      <c r="P20" s="3245" t="s">
        <v>3363</v>
      </c>
      <c r="Q20">
        <v>6156</v>
      </c>
      <c r="R20" s="3325">
        <v>5664</v>
      </c>
    </row>
    <row r="21" spans="16:19">
      <c r="P21" s="3245" t="s">
        <v>3366</v>
      </c>
      <c r="Q21">
        <f>Q19/Q20</f>
        <v>0.26591942820012998</v>
      </c>
      <c r="R21">
        <f>R19/R20</f>
        <v>0.26271186440677968</v>
      </c>
    </row>
  </sheetData>
  <mergeCells count="2">
    <mergeCell ref="T1:U1"/>
    <mergeCell ref="A1:Q1"/>
  </mergeCells>
  <phoneticPr fontId="228" type="noConversion"/>
  <hyperlinks>
    <hyperlink ref="P10" r:id="rId1" xr:uid="{00000000-0004-0000-0C00-000000000000}"/>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3" t="s">
        <v>203</v>
      </c>
      <c r="B2" s="3413"/>
      <c r="C2" s="3413"/>
      <c r="D2" s="1888" t="s">
        <v>204</v>
      </c>
      <c r="E2" s="106" t="s">
        <v>205</v>
      </c>
      <c r="F2" s="3082"/>
      <c r="G2" s="1181"/>
      <c r="H2" s="1182"/>
      <c r="I2" s="1183" t="s">
        <v>849</v>
      </c>
      <c r="J2" s="3082"/>
      <c r="K2" s="3082"/>
      <c r="L2" s="3082"/>
      <c r="M2" s="3082"/>
      <c r="N2" s="3082"/>
      <c r="O2" s="3082"/>
      <c r="P2" s="3082"/>
    </row>
    <row r="3" spans="1:16" ht="15.75" thickBot="1">
      <c r="A3" s="3414" t="s">
        <v>206</v>
      </c>
      <c r="B3" s="3414"/>
      <c r="C3" s="3414"/>
      <c r="D3" s="107">
        <f>'数据-基础表'!AY6</f>
        <v>12606.51</v>
      </c>
      <c r="E3" s="107">
        <f>'数据-基础表'!AZ5</f>
        <v>37819.53</v>
      </c>
      <c r="F3" s="3082"/>
      <c r="G3" s="278" t="s">
        <v>850</v>
      </c>
      <c r="H3" s="273" t="s">
        <v>851</v>
      </c>
      <c r="I3" s="1889">
        <f>ROUND('数据-基础表'!B3/'数据-基础表'!A3,2)</f>
        <v>3</v>
      </c>
      <c r="J3" s="3082"/>
      <c r="K3" s="3082"/>
      <c r="L3" s="3082"/>
      <c r="M3" s="3082"/>
      <c r="N3" s="3082"/>
      <c r="O3" s="3082"/>
      <c r="P3" s="3082"/>
    </row>
    <row r="4" spans="1:16" ht="15">
      <c r="A4" s="3415"/>
      <c r="B4" s="3416"/>
      <c r="C4" s="3417"/>
      <c r="D4" s="108" t="s">
        <v>204</v>
      </c>
      <c r="E4" s="109" t="s">
        <v>205</v>
      </c>
      <c r="F4" s="3082"/>
      <c r="G4" s="1184"/>
      <c r="H4" s="273" t="s">
        <v>852</v>
      </c>
      <c r="I4" s="1889">
        <f>ROUND(SUMIF('数据-基础表'!I9:AS9,"地上",'数据-基础表'!I5:AS5)/'数据-基础表'!A3,2)</f>
        <v>3</v>
      </c>
      <c r="J4" s="3082"/>
      <c r="K4" s="3082"/>
      <c r="L4" s="3082"/>
      <c r="M4" s="3082"/>
      <c r="N4" s="3082"/>
      <c r="O4" s="3082"/>
      <c r="P4" s="3082"/>
    </row>
    <row r="5" spans="1:16">
      <c r="A5" s="110" t="s">
        <v>207</v>
      </c>
      <c r="B5" s="3418" t="s">
        <v>230</v>
      </c>
      <c r="C5" s="3418"/>
      <c r="D5" s="111">
        <f>ROUND($D$3*E5/$E$3,2)</f>
        <v>12606.51</v>
      </c>
      <c r="E5" s="112">
        <f>SUMIF('数据-基础表'!$11:$11,"住宅",'数据-基础表'!$5:$5)</f>
        <v>37819.53</v>
      </c>
      <c r="F5" s="3082"/>
      <c r="G5" s="278" t="s">
        <v>853</v>
      </c>
      <c r="H5" s="273" t="s">
        <v>851</v>
      </c>
      <c r="I5" s="1889">
        <f>ROUND(E31/D31,2)</f>
        <v>3</v>
      </c>
      <c r="J5" s="3082"/>
      <c r="K5" s="3082"/>
      <c r="L5" s="3082"/>
      <c r="M5" s="3082"/>
      <c r="N5" s="3082"/>
      <c r="O5" s="3082"/>
      <c r="P5" s="3082"/>
    </row>
    <row r="6" spans="1:16" ht="15" thickBot="1">
      <c r="A6" s="113"/>
      <c r="B6" s="3418" t="s">
        <v>208</v>
      </c>
      <c r="C6" s="3418"/>
      <c r="D6" s="111">
        <f>ROUND($D$3*E6/$E$3,2)</f>
        <v>0</v>
      </c>
      <c r="E6" s="112">
        <f>E3-E5</f>
        <v>0</v>
      </c>
      <c r="F6" s="3082"/>
      <c r="G6" s="1184"/>
      <c r="H6" s="273" t="s">
        <v>852</v>
      </c>
      <c r="I6" s="1889">
        <f>ROUND(F31/D31,2)</f>
        <v>3</v>
      </c>
      <c r="J6" s="3082"/>
      <c r="K6" s="3082"/>
      <c r="L6" s="3082"/>
      <c r="M6" s="3082"/>
      <c r="N6" s="3082"/>
      <c r="O6" s="3082"/>
      <c r="P6" s="3082"/>
    </row>
    <row r="7" spans="1:16" ht="15">
      <c r="A7" s="3410"/>
      <c r="B7" s="3411"/>
      <c r="C7" s="3412"/>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12606.51</v>
      </c>
      <c r="E8" s="116">
        <f>SUMIF('数据-基础表'!BB10:BK10,"地上",'数据-基础表'!BB5:BK5)</f>
        <v>37819.53</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2310</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2317</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12606.51</v>
      </c>
      <c r="E16" s="120">
        <f>SUM(E8:E15)</f>
        <v>37819.53</v>
      </c>
      <c r="F16" s="3082"/>
      <c r="G16" s="3083"/>
      <c r="H16" s="956" t="s">
        <v>219</v>
      </c>
      <c r="I16" s="957"/>
      <c r="J16" s="1897"/>
      <c r="K16" s="3404" t="s">
        <v>2543</v>
      </c>
      <c r="L16" s="3405"/>
      <c r="M16" s="3405"/>
      <c r="N16" s="3405"/>
      <c r="O16" s="3405"/>
      <c r="P16" s="3406"/>
    </row>
    <row r="17" spans="1:19" ht="15">
      <c r="A17" s="121" t="s">
        <v>216</v>
      </c>
      <c r="B17" s="122" t="s">
        <v>217</v>
      </c>
      <c r="C17" s="2177" t="s">
        <v>2298</v>
      </c>
      <c r="D17" s="108" t="s">
        <v>204</v>
      </c>
      <c r="E17" s="124" t="s">
        <v>205</v>
      </c>
      <c r="F17" s="125"/>
      <c r="G17" s="1319"/>
      <c r="H17" s="958" t="s">
        <v>218</v>
      </c>
      <c r="I17" s="959" t="s">
        <v>2297</v>
      </c>
      <c r="J17" s="1897"/>
      <c r="K17" s="3407" t="s">
        <v>2544</v>
      </c>
      <c r="L17" s="3408"/>
      <c r="M17" s="3409"/>
      <c r="N17" s="3407" t="s">
        <v>2545</v>
      </c>
      <c r="O17" s="3408"/>
      <c r="P17" s="3409"/>
      <c r="R17" s="2178" t="s">
        <v>2296</v>
      </c>
      <c r="S17" s="142"/>
    </row>
    <row r="18" spans="1:19" ht="15">
      <c r="A18" s="117"/>
      <c r="B18" s="128"/>
      <c r="C18" s="129"/>
      <c r="D18" s="2483"/>
      <c r="E18" s="130" t="s">
        <v>220</v>
      </c>
      <c r="F18" s="131" t="s">
        <v>221</v>
      </c>
      <c r="G18" s="1320" t="s">
        <v>222</v>
      </c>
      <c r="H18" s="960" t="s">
        <v>223</v>
      </c>
      <c r="I18" s="961" t="s">
        <v>224</v>
      </c>
      <c r="J18" s="1897"/>
      <c r="K18" s="2448" t="s">
        <v>2546</v>
      </c>
      <c r="L18" s="2449" t="s">
        <v>2547</v>
      </c>
      <c r="M18" s="2450" t="s">
        <v>2548</v>
      </c>
      <c r="N18" s="2448" t="s">
        <v>2546</v>
      </c>
      <c r="O18" s="2449" t="s">
        <v>2547</v>
      </c>
      <c r="P18" s="2450" t="s">
        <v>2548</v>
      </c>
      <c r="R18" s="2179" t="s">
        <v>2294</v>
      </c>
      <c r="S18" s="2179" t="s">
        <v>2295</v>
      </c>
    </row>
    <row r="19" spans="1:19">
      <c r="A19" s="133"/>
      <c r="B19" s="115" t="s">
        <v>225</v>
      </c>
      <c r="C19" s="2737" t="s">
        <v>3007</v>
      </c>
      <c r="D19" s="111">
        <f t="shared" ref="D19:D26" si="1">ROUND($D$3*E19/$E$3,2)</f>
        <v>12606.51</v>
      </c>
      <c r="E19" s="134">
        <f t="shared" ref="E19:E26" si="2">SUM(F19:G19)</f>
        <v>37819.53</v>
      </c>
      <c r="F19" s="3084">
        <f>'数据-基础表'!I13</f>
        <v>37819.53</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12606.51</v>
      </c>
      <c r="S19" s="2180">
        <f t="shared" si="5"/>
        <v>37819.53</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12606.51</v>
      </c>
      <c r="E27" s="141">
        <f>IF(SUM(E19:E26)='数据-基础表'!BA5,SUM(E19:E26),IF(F27="地上面积有误","面积有误","地下面积有误"))</f>
        <v>37819.53</v>
      </c>
      <c r="F27" s="134">
        <f>IF(SUM(F19:F26)=E8,SUM(F19:F26),"地上面积有误")</f>
        <v>37819.53</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12606.51</v>
      </c>
      <c r="S27" s="273">
        <f>IF(SUM(S19:S26)=$E$3,SUM(S19:S26),SUM(S19:S26)&amp;"误差"&amp;ROUND(SUM(S19:S26)-E3,2))</f>
        <v>37819.53</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2305</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2307</v>
      </c>
      <c r="D31" s="1323">
        <f>D27+D30</f>
        <v>12606.51</v>
      </c>
      <c r="E31" s="1323">
        <f>E27+E30</f>
        <v>37819.53</v>
      </c>
      <c r="F31" s="1324">
        <f>F27+F30</f>
        <v>37819.53</v>
      </c>
      <c r="G31" s="1325">
        <f>G27+G30</f>
        <v>0</v>
      </c>
      <c r="H31" s="3082"/>
      <c r="I31" s="3082"/>
      <c r="J31" s="3082"/>
      <c r="K31" s="3082"/>
      <c r="L31" s="3082"/>
      <c r="M31" s="3082"/>
      <c r="N31" s="3082"/>
      <c r="O31" s="3082"/>
      <c r="P31" s="3082"/>
    </row>
    <row r="32" spans="1:19">
      <c r="A32" s="1897"/>
      <c r="B32" s="2221" t="s">
        <v>2306</v>
      </c>
      <c r="C32" s="2488"/>
      <c r="D32" s="1184"/>
      <c r="E32" s="1184">
        <f>SUMIF(C19:C26,"*住宅*",E19:E26)</f>
        <v>37819.53</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9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6" sqref="B3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44166</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2803</v>
      </c>
      <c r="O5" s="161" t="s">
        <v>246</v>
      </c>
      <c r="P5" s="163" t="s">
        <v>247</v>
      </c>
      <c r="Q5" s="164" t="s">
        <v>248</v>
      </c>
      <c r="R5" s="165" t="s">
        <v>249</v>
      </c>
      <c r="S5" s="2464" t="s">
        <v>2549</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2308</v>
      </c>
      <c r="AI5" s="169" t="s">
        <v>2277</v>
      </c>
      <c r="AJ5" s="169" t="s">
        <v>258</v>
      </c>
      <c r="AK5" s="157" t="s">
        <v>259</v>
      </c>
      <c r="AL5" s="157" t="s">
        <v>260</v>
      </c>
      <c r="AM5" s="170" t="s">
        <v>261</v>
      </c>
      <c r="AN5" s="2245" t="s">
        <v>2353</v>
      </c>
      <c r="AO5" s="3103"/>
      <c r="AP5" s="3088" t="s">
        <v>2958</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69681</v>
      </c>
      <c r="F6" s="172">
        <f>SUMIF(项目基本情况!D$15:I$15,C6,项目基本情况!D$19:I$19)</f>
        <v>69.900000000000006</v>
      </c>
      <c r="G6" s="173">
        <f>IF(ISERROR(ROUND(POWER(1+H6,D6-F6)*(POWER(1+H6,F6)-1)/(POWER(1+H6,D6)-1),3)),0,ROUND(POWER(1+H6,D6-F6)*(POWER(1+H6,F6)-1)/(POWER(1+H6,D6)-1),3))</f>
        <v>1</v>
      </c>
      <c r="H6" s="2738">
        <v>0.05</v>
      </c>
      <c r="I6" s="2738">
        <v>5.5E-2</v>
      </c>
      <c r="J6" s="174">
        <v>8.5000000000000006E-2</v>
      </c>
      <c r="K6" s="177">
        <f>SUMIF('数据-汇总表'!C$19:C$33,'数据-取费表'!A6,'数据-汇总表'!E$19:E$33)</f>
        <v>37819.53</v>
      </c>
      <c r="L6" s="2739">
        <v>2200</v>
      </c>
      <c r="M6" s="175">
        <f t="shared" ref="M6:M14" si="0">ROUND(K6*L6/10000,0)</f>
        <v>8320</v>
      </c>
      <c r="N6" s="2740">
        <v>0</v>
      </c>
      <c r="O6" s="175">
        <f>IF($N$5="成新度","——",ROUND(M6*N6,0))</f>
        <v>0</v>
      </c>
      <c r="P6" s="176">
        <f>IF($N$5="成新度","——",M6-O6)</f>
        <v>8320</v>
      </c>
      <c r="Q6" s="2741">
        <v>0.1</v>
      </c>
      <c r="R6" s="177">
        <f>SUMIF('数据-汇总表'!C$19:C$33,A6,'数据-汇总表'!R$19:R$33)</f>
        <v>12606.51</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0.96699999999999997</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2299</v>
      </c>
      <c r="B14" s="2185" t="s">
        <v>1670</v>
      </c>
      <c r="C14" s="2186" t="s">
        <v>2299</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2301</v>
      </c>
      <c r="B15" s="2185" t="s">
        <v>1670</v>
      </c>
      <c r="C15" s="2186" t="s">
        <v>2300</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37819.53</v>
      </c>
      <c r="L16" s="204">
        <f>ROUND(M16*10000/SUM(K6:K14),0)</f>
        <v>2200</v>
      </c>
      <c r="M16" s="204">
        <f>SUM(M6:M14)</f>
        <v>8320</v>
      </c>
      <c r="N16" s="205">
        <f>ROUND(SUMPRODUCT(M6:M14,N6:N14)/M16,3)</f>
        <v>0</v>
      </c>
      <c r="O16" s="204">
        <f>SUM(O6:O14)</f>
        <v>0</v>
      </c>
      <c r="P16" s="204">
        <f>SUM(P6:P14)</f>
        <v>8320</v>
      </c>
      <c r="Q16" s="206">
        <f>ROUND(SUMPRODUCT(Q6:Q13,K6:K13)/SUMPRODUCT((Q6:Q13&gt;0)*(K6:K13)),2)</f>
        <v>0.1</v>
      </c>
      <c r="R16" s="2190">
        <f>SUM(R6:R13)</f>
        <v>12606.51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0.96699999999999997</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2971</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2318</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2320</v>
      </c>
      <c r="B27" s="225">
        <v>40</v>
      </c>
      <c r="C27" s="3105" t="s">
        <v>2972</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2321</v>
      </c>
      <c r="B28" s="227">
        <v>40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2319</v>
      </c>
      <c r="B29" s="230"/>
      <c r="C29" s="3106" t="s">
        <v>2322</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150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90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v>60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2959</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2960</v>
      </c>
      <c r="D34" s="3108" t="s">
        <v>2968</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120</v>
      </c>
      <c r="C35" s="3107" t="s">
        <v>2961</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2962</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2963</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2963</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2433</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2434</v>
      </c>
      <c r="B40" s="2333">
        <f ca="1">存贷款利率!E2</f>
        <v>4.7500000000000001E-2</v>
      </c>
      <c r="C40" s="3107" t="s">
        <v>2964</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2969</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2965</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2966</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2973</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0.04</v>
      </c>
      <c r="C48" s="3110" t="s">
        <v>2965</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2967</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2864</v>
      </c>
      <c r="D53" s="3111" t="s">
        <v>2970</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2865</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2866</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2867</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2868</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2869</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2870</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2871</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2872</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2873</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2874</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28" sqref="C28"/>
    </sheetView>
  </sheetViews>
  <sheetFormatPr defaultColWidth="9" defaultRowHeight="13.5"/>
  <cols>
    <col min="1" max="1" width="9.5" style="3123"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3"/>
  </cols>
  <sheetData>
    <row r="1" spans="1:18" s="3117" customFormat="1" ht="19.5" thickBot="1">
      <c r="A1" s="3419" t="s">
        <v>1654</v>
      </c>
      <c r="B1" s="3420"/>
      <c r="C1" s="3420"/>
      <c r="D1" s="3420"/>
      <c r="E1" s="3420"/>
      <c r="F1" s="3420"/>
      <c r="G1" s="3420"/>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27">
      <c r="A3" s="3124" t="s">
        <v>1657</v>
      </c>
      <c r="B3" s="3125" t="s">
        <v>1644</v>
      </c>
      <c r="C3" s="3294" t="s">
        <v>3358</v>
      </c>
      <c r="D3" s="3126"/>
      <c r="E3" s="3127" t="s">
        <v>1657</v>
      </c>
      <c r="F3" s="3128" t="s">
        <v>1645</v>
      </c>
      <c r="G3" s="3129"/>
      <c r="H3" s="3123"/>
      <c r="I3" s="3123"/>
      <c r="J3" s="3123"/>
      <c r="K3" s="3123"/>
      <c r="L3" s="3123"/>
      <c r="M3" s="3123"/>
      <c r="N3" s="3123"/>
      <c r="O3" s="3123"/>
      <c r="P3" s="3123"/>
      <c r="Q3" s="3123"/>
      <c r="R3" s="3123"/>
    </row>
    <row r="4" spans="1:18" ht="14.25">
      <c r="A4" s="3127"/>
      <c r="B4" s="3130" t="s">
        <v>1658</v>
      </c>
      <c r="C4" s="3295"/>
      <c r="D4" s="3126"/>
      <c r="E4" s="3131"/>
      <c r="F4" s="3132" t="s">
        <v>1659</v>
      </c>
      <c r="G4" s="3133"/>
      <c r="H4" s="3123"/>
      <c r="I4" s="3123"/>
      <c r="J4" s="3123"/>
      <c r="K4" s="3123"/>
      <c r="L4" s="3123"/>
      <c r="M4" s="3123"/>
      <c r="N4" s="3123"/>
      <c r="O4" s="3123"/>
      <c r="P4" s="3123"/>
      <c r="Q4" s="3123"/>
      <c r="R4" s="3123"/>
    </row>
    <row r="5" spans="1:18" ht="14.25">
      <c r="A5" s="3127"/>
      <c r="B5" s="3130" t="s">
        <v>1660</v>
      </c>
      <c r="C5" s="3295"/>
      <c r="D5" s="3126"/>
      <c r="E5" s="3131"/>
      <c r="F5" s="3130" t="s">
        <v>2523</v>
      </c>
      <c r="G5" s="3133"/>
      <c r="H5" s="3123"/>
      <c r="I5" s="3123"/>
      <c r="J5" s="3123"/>
      <c r="K5" s="3123"/>
      <c r="L5" s="3123"/>
      <c r="M5" s="3123"/>
      <c r="N5" s="3123"/>
      <c r="O5" s="3123"/>
      <c r="P5" s="3123"/>
      <c r="Q5" s="3123"/>
      <c r="R5" s="3123"/>
    </row>
    <row r="6" spans="1:18" ht="14.25">
      <c r="A6" s="3127"/>
      <c r="B6" s="3130" t="s">
        <v>1646</v>
      </c>
      <c r="C6" s="3296" t="s">
        <v>3359</v>
      </c>
      <c r="D6" s="3126"/>
      <c r="E6" s="3131"/>
      <c r="F6" s="3130" t="s">
        <v>2524</v>
      </c>
      <c r="G6" s="3133"/>
      <c r="H6" s="3123"/>
      <c r="I6" s="3123"/>
      <c r="J6" s="3123"/>
      <c r="K6" s="3123"/>
      <c r="L6" s="3123"/>
      <c r="M6" s="3123"/>
      <c r="N6" s="3123"/>
      <c r="O6" s="3123"/>
      <c r="P6" s="3123"/>
      <c r="Q6" s="3123"/>
      <c r="R6" s="3123"/>
    </row>
    <row r="7" spans="1:18" ht="15" thickBot="1">
      <c r="A7" s="3127"/>
      <c r="B7" s="3130" t="s">
        <v>2523</v>
      </c>
      <c r="C7" s="3296" t="s">
        <v>3360</v>
      </c>
      <c r="D7" s="3134"/>
      <c r="E7" s="3135"/>
      <c r="F7" s="3136" t="s">
        <v>1661</v>
      </c>
      <c r="G7" s="3137"/>
      <c r="H7" s="3123"/>
      <c r="I7" s="3123"/>
      <c r="J7" s="3123"/>
      <c r="K7" s="3123"/>
      <c r="L7" s="3123"/>
      <c r="M7" s="3123"/>
      <c r="N7" s="3123"/>
      <c r="O7" s="3123"/>
      <c r="P7" s="3123"/>
      <c r="Q7" s="3123"/>
      <c r="R7" s="3123"/>
    </row>
    <row r="8" spans="1:18">
      <c r="A8" s="3127"/>
      <c r="B8" s="3130" t="s">
        <v>2524</v>
      </c>
      <c r="C8" s="3296" t="s">
        <v>3145</v>
      </c>
      <c r="D8" s="3134"/>
      <c r="E8" s="3134"/>
      <c r="F8" s="3138"/>
      <c r="G8" s="3138"/>
      <c r="H8" s="3123"/>
      <c r="I8" s="3123"/>
      <c r="J8" s="3123"/>
      <c r="K8" s="3123"/>
      <c r="L8" s="3123"/>
      <c r="M8" s="3123"/>
      <c r="N8" s="3123"/>
      <c r="O8" s="3123"/>
      <c r="P8" s="3123"/>
      <c r="Q8" s="3123"/>
      <c r="R8" s="3123"/>
    </row>
    <row r="9" spans="1:18">
      <c r="A9" s="3127"/>
      <c r="B9" s="3130" t="s">
        <v>1647</v>
      </c>
      <c r="C9" s="3297" t="s">
        <v>3361</v>
      </c>
      <c r="D9" s="3126"/>
      <c r="E9" s="3134"/>
      <c r="F9" s="3138"/>
      <c r="G9" s="3138"/>
      <c r="H9" s="3123"/>
      <c r="I9" s="3123"/>
      <c r="J9" s="3123"/>
      <c r="K9" s="3123"/>
      <c r="L9" s="3123"/>
      <c r="M9" s="3123"/>
      <c r="N9" s="3123"/>
      <c r="O9" s="3123"/>
      <c r="P9" s="3123"/>
      <c r="Q9" s="3123"/>
      <c r="R9" s="3123"/>
    </row>
    <row r="10" spans="1:18" s="3144" customFormat="1" ht="14.25" thickBot="1">
      <c r="A10" s="3139"/>
      <c r="B10" s="3140" t="s">
        <v>1662</v>
      </c>
      <c r="C10" s="3298" t="s">
        <v>3147</v>
      </c>
      <c r="D10" s="3126"/>
      <c r="E10" s="3126"/>
      <c r="F10" s="3138"/>
      <c r="G10" s="3138"/>
      <c r="H10" s="3141"/>
      <c r="I10" s="3142"/>
      <c r="J10" s="3143"/>
      <c r="K10" s="3141"/>
      <c r="L10" s="3142"/>
      <c r="M10" s="3143"/>
      <c r="N10" s="3141"/>
      <c r="O10" s="3142"/>
      <c r="P10" s="3143"/>
      <c r="Q10" s="3141"/>
      <c r="R10" s="3142"/>
    </row>
    <row r="11" spans="1:18" s="3144" customFormat="1">
      <c r="A11" s="3145"/>
      <c r="B11" s="3134"/>
      <c r="C11" s="3126"/>
      <c r="D11" s="3126"/>
      <c r="E11" s="3126"/>
      <c r="F11" s="3134"/>
      <c r="G11" s="3146"/>
      <c r="H11" s="3141"/>
      <c r="I11" s="3142"/>
      <c r="J11" s="3143"/>
      <c r="K11" s="3141"/>
      <c r="L11" s="3142"/>
      <c r="M11" s="3143"/>
      <c r="N11" s="3141"/>
      <c r="O11" s="3142"/>
      <c r="P11" s="3143"/>
      <c r="Q11" s="3141"/>
      <c r="R11" s="3142"/>
    </row>
    <row r="12" spans="1:18" s="3117" customFormat="1" ht="18.75">
      <c r="A12" s="3145"/>
      <c r="B12" s="3134"/>
      <c r="C12" s="3126"/>
      <c r="D12" s="3147"/>
      <c r="E12" s="3126"/>
      <c r="F12" s="3134"/>
      <c r="G12" s="3146"/>
      <c r="H12" s="3148"/>
      <c r="I12" s="3149"/>
      <c r="J12" s="3148"/>
      <c r="K12" s="3148"/>
      <c r="L12" s="3150"/>
      <c r="M12" s="3148"/>
      <c r="N12" s="3151"/>
      <c r="O12" s="3152"/>
      <c r="P12" s="3153"/>
      <c r="Q12" s="3151"/>
      <c r="R12" s="3116"/>
    </row>
    <row r="13" spans="1:18" ht="19.5" thickBot="1">
      <c r="A13" s="3154" t="s">
        <v>1663</v>
      </c>
      <c r="B13" s="3147"/>
      <c r="C13" s="3147"/>
      <c r="D13" s="3121"/>
      <c r="E13" s="3147"/>
      <c r="F13" s="3147"/>
      <c r="G13" s="3147"/>
    </row>
    <row r="14" spans="1:18" ht="14.25" thickBot="1">
      <c r="A14" s="3159"/>
      <c r="B14" s="3159"/>
      <c r="C14" s="3160" t="s">
        <v>1655</v>
      </c>
      <c r="D14" s="3126"/>
      <c r="E14" s="3161"/>
      <c r="F14" s="3161"/>
      <c r="G14" s="3120" t="s">
        <v>1656</v>
      </c>
    </row>
    <row r="15" spans="1:18" ht="27">
      <c r="A15" s="3162" t="s">
        <v>1648</v>
      </c>
      <c r="B15" s="3163" t="s">
        <v>1644</v>
      </c>
      <c r="C15" s="3164" t="str">
        <f>C3</f>
        <v>一般</v>
      </c>
      <c r="D15" s="3126"/>
      <c r="E15" s="3165" t="s">
        <v>1649</v>
      </c>
      <c r="F15" s="3163" t="s">
        <v>1664</v>
      </c>
      <c r="G15" s="3166">
        <f>G3</f>
        <v>0</v>
      </c>
    </row>
    <row r="16" spans="1:18">
      <c r="A16" s="3167"/>
      <c r="B16" s="3168" t="s">
        <v>1658</v>
      </c>
      <c r="C16" s="3169">
        <f>C4</f>
        <v>0</v>
      </c>
      <c r="D16" s="3126"/>
      <c r="E16" s="3170"/>
      <c r="F16" s="3171" t="s">
        <v>1659</v>
      </c>
      <c r="G16" s="3172">
        <f>G4</f>
        <v>0</v>
      </c>
    </row>
    <row r="17" spans="1:7" ht="14.25">
      <c r="A17" s="3167"/>
      <c r="B17" s="3168" t="s">
        <v>1660</v>
      </c>
      <c r="C17" s="3169">
        <f>C5</f>
        <v>0</v>
      </c>
      <c r="D17" s="3134"/>
      <c r="E17" s="3170"/>
      <c r="F17" s="3171" t="s">
        <v>1665</v>
      </c>
      <c r="G17" s="3173"/>
    </row>
    <row r="18" spans="1:7">
      <c r="A18" s="3167"/>
      <c r="B18" s="3171" t="s">
        <v>1646</v>
      </c>
      <c r="C18" s="3172" t="str">
        <f>C6</f>
        <v>较好</v>
      </c>
      <c r="D18" s="3134"/>
      <c r="E18" s="3170"/>
      <c r="F18" s="3171" t="s">
        <v>1661</v>
      </c>
      <c r="G18" s="3172">
        <f>G7</f>
        <v>0</v>
      </c>
    </row>
    <row r="19" spans="1:7">
      <c r="A19" s="3167"/>
      <c r="B19" s="3171" t="s">
        <v>1650</v>
      </c>
      <c r="C19" s="3293" t="s">
        <v>3150</v>
      </c>
      <c r="D19" s="3126"/>
      <c r="E19" s="3170"/>
      <c r="F19" s="3130" t="s">
        <v>2523</v>
      </c>
      <c r="G19" s="3172">
        <f>G5</f>
        <v>0</v>
      </c>
    </row>
    <row r="20" spans="1:7">
      <c r="A20" s="3167"/>
      <c r="B20" s="3171" t="s">
        <v>1651</v>
      </c>
      <c r="C20" s="3169" t="str">
        <f>C9</f>
        <v>一般</v>
      </c>
      <c r="D20" s="3134"/>
      <c r="E20" s="3170"/>
      <c r="F20" s="3130" t="s">
        <v>2524</v>
      </c>
      <c r="G20" s="3172">
        <f>G6</f>
        <v>0</v>
      </c>
    </row>
    <row r="21" spans="1:7" ht="14.25">
      <c r="A21" s="3167"/>
      <c r="B21" s="3130" t="s">
        <v>2523</v>
      </c>
      <c r="C21" s="3172" t="str">
        <f>C7</f>
        <v>一般</v>
      </c>
      <c r="D21" s="3126"/>
      <c r="E21" s="3170"/>
      <c r="F21" s="3171" t="s">
        <v>1652</v>
      </c>
      <c r="G21" s="3174"/>
    </row>
    <row r="22" spans="1:7" ht="14.25">
      <c r="A22" s="3167"/>
      <c r="B22" s="3130" t="s">
        <v>2524</v>
      </c>
      <c r="C22" s="3172" t="str">
        <f>C8</f>
        <v>六通</v>
      </c>
      <c r="D22" s="3126"/>
      <c r="E22" s="3170"/>
      <c r="F22" s="3171" t="s">
        <v>1662</v>
      </c>
      <c r="G22" s="3173"/>
    </row>
    <row r="23" spans="1:7" ht="15" thickBot="1">
      <c r="A23" s="3167"/>
      <c r="B23" s="3171" t="s">
        <v>1652</v>
      </c>
      <c r="C23" s="3174" t="s">
        <v>3148</v>
      </c>
      <c r="E23" s="3175"/>
      <c r="F23" s="3176" t="s">
        <v>1666</v>
      </c>
      <c r="G23" s="3177"/>
    </row>
    <row r="24" spans="1:7" ht="14.25" thickBot="1">
      <c r="A24" s="3178"/>
      <c r="B24" s="3176" t="s">
        <v>1653</v>
      </c>
      <c r="C24" s="3179" t="str">
        <f>C10</f>
        <v>主干道</v>
      </c>
      <c r="E24" s="3180"/>
      <c r="F24" s="3180"/>
      <c r="G24" s="3181"/>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topLeftCell="B1" zoomScaleNormal="80" zoomScaleSheetLayoutView="100" workbookViewId="0">
      <selection activeCell="E14" sqref="E14"/>
    </sheetView>
  </sheetViews>
  <sheetFormatPr defaultColWidth="14.625" defaultRowHeight="13.5"/>
  <cols>
    <col min="1" max="1" width="24.375" style="3183" customWidth="1"/>
    <col min="2" max="16384" width="14.625" style="3183"/>
  </cols>
  <sheetData>
    <row r="1" spans="1:10" ht="16.5">
      <c r="A1" s="3182" t="s">
        <v>2819</v>
      </c>
      <c r="B1" s="3182">
        <f>SUM(B14:B23)</f>
        <v>37819.53</v>
      </c>
      <c r="C1" s="3191"/>
      <c r="D1" s="3191"/>
      <c r="E1" s="3191"/>
      <c r="F1" s="3191"/>
      <c r="G1" s="3192"/>
      <c r="H1" s="3192"/>
      <c r="I1" s="3192"/>
      <c r="J1" s="3192"/>
    </row>
    <row r="2" spans="1:10" ht="16.5">
      <c r="A2" s="3182" t="s">
        <v>2820</v>
      </c>
      <c r="B2" s="3182">
        <f>SUM(C14:C23)</f>
        <v>12606.51</v>
      </c>
      <c r="C2" s="3191"/>
      <c r="D2" s="3191"/>
      <c r="E2" s="3191"/>
      <c r="F2" s="3191"/>
      <c r="G2" s="3192"/>
      <c r="H2" s="3192"/>
      <c r="I2" s="3192"/>
      <c r="J2" s="3192"/>
    </row>
    <row r="3" spans="1:10" ht="16.5">
      <c r="A3" s="3182" t="s">
        <v>2821</v>
      </c>
      <c r="B3" s="3184">
        <f>项目基本情况!D3</f>
        <v>44166</v>
      </c>
      <c r="C3" s="3191"/>
      <c r="D3" s="3191"/>
      <c r="E3" s="3191"/>
      <c r="F3" s="3191"/>
      <c r="G3" s="3192"/>
      <c r="H3" s="3192"/>
      <c r="I3" s="3192"/>
      <c r="J3" s="3192"/>
    </row>
    <row r="4" spans="1:10" ht="33">
      <c r="A4" s="3182" t="s">
        <v>2822</v>
      </c>
      <c r="B4" s="3182" t="s">
        <v>2823</v>
      </c>
      <c r="C4" s="3182" t="s">
        <v>2824</v>
      </c>
      <c r="D4" s="3182" t="s">
        <v>2825</v>
      </c>
      <c r="E4" s="3191"/>
      <c r="F4" s="3191"/>
      <c r="G4" s="3192"/>
      <c r="H4" s="3192"/>
      <c r="I4" s="3192"/>
      <c r="J4" s="3192"/>
    </row>
    <row r="5" spans="1:10" ht="16.5">
      <c r="A5" s="3182" t="s">
        <v>2826</v>
      </c>
      <c r="B5" s="3182">
        <f ca="1">SUM(D14:D23)</f>
        <v>5486</v>
      </c>
      <c r="C5" s="3182">
        <f ca="1">ROUND(B5*10000/$B$1,0)</f>
        <v>1451</v>
      </c>
      <c r="D5" s="3182">
        <f ca="1">ROUND(B5*10000/$B$2,0)</f>
        <v>4352</v>
      </c>
      <c r="E5" s="3191"/>
      <c r="F5" s="3191"/>
      <c r="G5" s="3192"/>
      <c r="H5" s="3192"/>
      <c r="I5" s="3192"/>
      <c r="J5" s="3192"/>
    </row>
    <row r="6" spans="1:10" ht="16.5">
      <c r="A6" s="3182" t="s">
        <v>2827</v>
      </c>
      <c r="B6" s="3182">
        <f ca="1">SUM(G14:G23)</f>
        <v>5486</v>
      </c>
      <c r="C6" s="3182">
        <f t="shared" ref="C6:C8" ca="1" si="0">ROUND(B6*10000/$B$1,0)</f>
        <v>1451</v>
      </c>
      <c r="D6" s="3182">
        <f t="shared" ref="D6:D8" ca="1" si="1">ROUND(B6*10000/$B$2,0)</f>
        <v>4352</v>
      </c>
      <c r="E6" s="3191"/>
      <c r="F6" s="3191"/>
      <c r="G6" s="3192"/>
      <c r="H6" s="3192"/>
      <c r="I6" s="3192"/>
      <c r="J6" s="3192"/>
    </row>
    <row r="7" spans="1:10" ht="16.5">
      <c r="A7" s="3182" t="s">
        <v>2828</v>
      </c>
      <c r="B7" s="3182">
        <f>SUM(H14:H23)</f>
        <v>0</v>
      </c>
      <c r="C7" s="3182">
        <f t="shared" si="0"/>
        <v>0</v>
      </c>
      <c r="D7" s="3182">
        <f t="shared" si="1"/>
        <v>0</v>
      </c>
      <c r="E7" s="3191"/>
      <c r="F7" s="3191"/>
      <c r="G7" s="3192"/>
      <c r="H7" s="3192"/>
      <c r="I7" s="3192"/>
      <c r="J7" s="3192"/>
    </row>
    <row r="8" spans="1:10" ht="16.5">
      <c r="A8" s="3182" t="s">
        <v>2829</v>
      </c>
      <c r="B8" s="3182">
        <f>SUM(I14:I23)</f>
        <v>0</v>
      </c>
      <c r="C8" s="3182">
        <f t="shared" si="0"/>
        <v>0</v>
      </c>
      <c r="D8" s="3182">
        <f t="shared" si="1"/>
        <v>0</v>
      </c>
      <c r="E8" s="3191"/>
      <c r="F8" s="3191"/>
      <c r="G8" s="3192"/>
      <c r="H8" s="3192"/>
      <c r="I8" s="3192"/>
      <c r="J8" s="3192"/>
    </row>
    <row r="9" spans="1:10" ht="16.5">
      <c r="A9" s="3182" t="s">
        <v>2830</v>
      </c>
      <c r="B9" s="3190"/>
      <c r="C9" s="3191"/>
      <c r="D9" s="3191"/>
      <c r="E9" s="3191"/>
      <c r="F9" s="3191"/>
      <c r="G9" s="3192"/>
      <c r="H9" s="3192"/>
      <c r="I9" s="3192"/>
      <c r="J9" s="3192"/>
    </row>
    <row r="10" spans="1:10" ht="16.5">
      <c r="A10" s="3182" t="s">
        <v>2831</v>
      </c>
      <c r="B10" s="3190"/>
      <c r="C10" s="3191"/>
      <c r="D10" s="3191"/>
      <c r="E10" s="3191"/>
      <c r="F10" s="3191"/>
      <c r="G10" s="3192"/>
      <c r="H10" s="3192"/>
      <c r="I10" s="3192"/>
      <c r="J10" s="3192"/>
    </row>
    <row r="11" spans="1:10" ht="16.5">
      <c r="A11" s="3182" t="s">
        <v>2848</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2847</v>
      </c>
      <c r="B13" s="3186" t="s">
        <v>2819</v>
      </c>
      <c r="C13" s="3186" t="s">
        <v>2820</v>
      </c>
      <c r="D13" s="3186" t="s">
        <v>2832</v>
      </c>
      <c r="E13" s="3182" t="s">
        <v>2846</v>
      </c>
      <c r="F13" s="3182" t="s">
        <v>2825</v>
      </c>
      <c r="G13" s="3186" t="s">
        <v>2833</v>
      </c>
      <c r="H13" s="3186" t="s">
        <v>2834</v>
      </c>
      <c r="I13" s="3186" t="s">
        <v>2835</v>
      </c>
      <c r="J13" s="3192"/>
    </row>
    <row r="14" spans="1:10" ht="16.5">
      <c r="A14" s="3187" t="s">
        <v>2845</v>
      </c>
      <c r="B14" s="3188">
        <f>结果表!L38</f>
        <v>37819.53</v>
      </c>
      <c r="C14" s="3188">
        <f>结果表!K38</f>
        <v>12606.51</v>
      </c>
      <c r="D14" s="3188">
        <f ca="1">结果表!C42</f>
        <v>5486</v>
      </c>
      <c r="E14" s="3188">
        <f ca="1">ROUND(D14*10000/B14,0)</f>
        <v>1451</v>
      </c>
      <c r="F14" s="3188">
        <f ca="1">ROUND(D14*10000/C14,0)</f>
        <v>4352</v>
      </c>
      <c r="G14" s="3188">
        <f ca="1">结果表!C44</f>
        <v>5486</v>
      </c>
      <c r="H14" s="3188" t="str">
        <f>结果表!C45</f>
        <v>——</v>
      </c>
      <c r="I14" s="3188" t="str">
        <f>结果表!C46</f>
        <v>——</v>
      </c>
      <c r="J14" s="3192"/>
    </row>
    <row r="15" spans="1:10" ht="16.5">
      <c r="A15" s="3187" t="s">
        <v>2836</v>
      </c>
      <c r="B15" s="3189"/>
      <c r="C15" s="3189"/>
      <c r="D15" s="3189"/>
      <c r="E15" s="3188" t="e">
        <f t="shared" ref="E15:E23" si="2">ROUND(D15*10000/B15,0)</f>
        <v>#DIV/0!</v>
      </c>
      <c r="F15" s="3188" t="e">
        <f t="shared" ref="F15:F23" si="3">ROUND(D15*10000/C15,0)</f>
        <v>#DIV/0!</v>
      </c>
      <c r="G15" s="2757"/>
      <c r="H15" s="2757"/>
      <c r="I15" s="3189"/>
      <c r="J15" s="3192"/>
    </row>
    <row r="16" spans="1:10" ht="16.5">
      <c r="A16" s="3187" t="s">
        <v>2837</v>
      </c>
      <c r="B16" s="3189"/>
      <c r="C16" s="3189"/>
      <c r="D16" s="3189"/>
      <c r="E16" s="3188" t="e">
        <f t="shared" si="2"/>
        <v>#DIV/0!</v>
      </c>
      <c r="F16" s="3188" t="e">
        <f t="shared" si="3"/>
        <v>#DIV/0!</v>
      </c>
      <c r="G16" s="2757"/>
      <c r="H16" s="2757"/>
      <c r="I16" s="3189"/>
      <c r="J16" s="3192"/>
    </row>
    <row r="17" spans="1:10" ht="16.5">
      <c r="A17" s="3187" t="s">
        <v>2838</v>
      </c>
      <c r="B17" s="3189"/>
      <c r="C17" s="3189"/>
      <c r="D17" s="3189"/>
      <c r="E17" s="3188" t="e">
        <f t="shared" si="2"/>
        <v>#DIV/0!</v>
      </c>
      <c r="F17" s="3188" t="e">
        <f t="shared" si="3"/>
        <v>#DIV/0!</v>
      </c>
      <c r="G17" s="2757"/>
      <c r="H17" s="2757"/>
      <c r="I17" s="3189"/>
      <c r="J17" s="3192"/>
    </row>
    <row r="18" spans="1:10" ht="16.5">
      <c r="A18" s="3187" t="s">
        <v>2839</v>
      </c>
      <c r="B18" s="3189"/>
      <c r="C18" s="3189"/>
      <c r="D18" s="3189"/>
      <c r="E18" s="3188" t="e">
        <f t="shared" si="2"/>
        <v>#DIV/0!</v>
      </c>
      <c r="F18" s="3188" t="e">
        <f t="shared" si="3"/>
        <v>#DIV/0!</v>
      </c>
      <c r="G18" s="3189"/>
      <c r="H18" s="3189"/>
      <c r="I18" s="3189"/>
      <c r="J18" s="3192"/>
    </row>
    <row r="19" spans="1:10" ht="16.5">
      <c r="A19" s="3187" t="s">
        <v>2840</v>
      </c>
      <c r="B19" s="3189"/>
      <c r="C19" s="3189"/>
      <c r="D19" s="3189"/>
      <c r="E19" s="3188" t="e">
        <f t="shared" si="2"/>
        <v>#DIV/0!</v>
      </c>
      <c r="F19" s="3188" t="e">
        <f t="shared" si="3"/>
        <v>#DIV/0!</v>
      </c>
      <c r="G19" s="3189"/>
      <c r="H19" s="3189"/>
      <c r="I19" s="3189"/>
      <c r="J19" s="3192"/>
    </row>
    <row r="20" spans="1:10" ht="16.5">
      <c r="A20" s="3187" t="s">
        <v>2841</v>
      </c>
      <c r="B20" s="3189"/>
      <c r="C20" s="3189"/>
      <c r="D20" s="3189"/>
      <c r="E20" s="3188" t="e">
        <f t="shared" si="2"/>
        <v>#DIV/0!</v>
      </c>
      <c r="F20" s="3188" t="e">
        <f t="shared" si="3"/>
        <v>#DIV/0!</v>
      </c>
      <c r="G20" s="3189"/>
      <c r="H20" s="3189"/>
      <c r="I20" s="3189"/>
      <c r="J20" s="3192"/>
    </row>
    <row r="21" spans="1:10" ht="16.5">
      <c r="A21" s="3187" t="s">
        <v>2842</v>
      </c>
      <c r="B21" s="3189"/>
      <c r="C21" s="3189"/>
      <c r="D21" s="3189"/>
      <c r="E21" s="3188" t="e">
        <f t="shared" si="2"/>
        <v>#DIV/0!</v>
      </c>
      <c r="F21" s="3188" t="e">
        <f t="shared" si="3"/>
        <v>#DIV/0!</v>
      </c>
      <c r="G21" s="3189"/>
      <c r="H21" s="3189"/>
      <c r="I21" s="3189"/>
      <c r="J21" s="3192"/>
    </row>
    <row r="22" spans="1:10" ht="16.5">
      <c r="A22" s="3187" t="s">
        <v>2843</v>
      </c>
      <c r="B22" s="3189"/>
      <c r="C22" s="3189"/>
      <c r="D22" s="3189"/>
      <c r="E22" s="3188" t="e">
        <f t="shared" si="2"/>
        <v>#DIV/0!</v>
      </c>
      <c r="F22" s="3188" t="e">
        <f t="shared" si="3"/>
        <v>#DIV/0!</v>
      </c>
      <c r="G22" s="3189"/>
      <c r="H22" s="3189"/>
      <c r="I22" s="3189"/>
      <c r="J22" s="3192"/>
    </row>
    <row r="23" spans="1:10" ht="16.5">
      <c r="A23" s="3187" t="s">
        <v>2844</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4" zoomScale="90" zoomScaleNormal="100" zoomScaleSheetLayoutView="90" zoomScalePageLayoutView="80" workbookViewId="0">
      <selection activeCell="G26" sqref="G26"/>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2041</v>
      </c>
      <c r="B1" s="1691"/>
      <c r="C1" s="1719" t="s">
        <v>2042</v>
      </c>
      <c r="D1" s="1720" t="s">
        <v>3153</v>
      </c>
      <c r="E1" s="1719" t="s">
        <v>2043</v>
      </c>
      <c r="F1" s="1721" t="s">
        <v>3154</v>
      </c>
      <c r="G1" s="309"/>
      <c r="H1" s="309"/>
      <c r="I1" s="309"/>
      <c r="J1" s="1911"/>
      <c r="K1" s="1911"/>
      <c r="L1" s="1911"/>
      <c r="M1" s="1911"/>
      <c r="N1" s="1911"/>
      <c r="O1" s="1911"/>
      <c r="P1" s="1911"/>
      <c r="Q1" s="1911"/>
      <c r="R1" s="1911"/>
      <c r="S1" s="1911"/>
      <c r="T1" s="1911"/>
      <c r="U1" s="1911"/>
      <c r="V1" s="1911"/>
    </row>
    <row r="2" spans="1:22" ht="21.75" customHeight="1" thickBot="1">
      <c r="A2" s="3465" t="str">
        <f>项目基本情况!K2</f>
        <v>湖北省黄石市大冶市罗桥商贸新区新冶大道东侧、职业技术学校北侧出让国有建设用地使用权</v>
      </c>
      <c r="B2" s="3466"/>
      <c r="C2" s="3467"/>
      <c r="D2" s="3467"/>
      <c r="E2" s="3467"/>
      <c r="F2" s="3467"/>
      <c r="G2" s="3466"/>
      <c r="H2" s="3466"/>
      <c r="I2" s="3468"/>
      <c r="J2" s="1912"/>
      <c r="K2" s="1911"/>
      <c r="L2" s="1911"/>
      <c r="M2" s="1911"/>
      <c r="N2" s="1911"/>
      <c r="O2" s="1911"/>
      <c r="P2" s="1911"/>
      <c r="Q2" s="1911"/>
      <c r="R2" s="1911"/>
      <c r="S2" s="1911"/>
      <c r="T2" s="1911"/>
      <c r="U2" s="1911"/>
      <c r="V2" s="1911"/>
    </row>
    <row r="3" spans="1:22" ht="14.25">
      <c r="A3" s="3458" t="s">
        <v>298</v>
      </c>
      <c r="B3" s="3459"/>
      <c r="C3" s="3459"/>
      <c r="D3" s="3459"/>
      <c r="E3" s="3459"/>
      <c r="F3" s="3459"/>
      <c r="G3" s="3459"/>
      <c r="H3" s="3459"/>
      <c r="I3" s="3459"/>
      <c r="J3" s="1912"/>
      <c r="K3" s="1911"/>
      <c r="L3" s="1911"/>
      <c r="M3" s="1911"/>
      <c r="N3" s="1911"/>
      <c r="O3" s="1911"/>
      <c r="P3" s="1911"/>
      <c r="Q3" s="1911"/>
      <c r="R3" s="1911"/>
      <c r="S3" s="1911"/>
      <c r="T3" s="1911"/>
      <c r="U3" s="1911"/>
      <c r="V3" s="1911"/>
    </row>
    <row r="4" spans="1:22" ht="14.25">
      <c r="A4" s="256" t="s">
        <v>299</v>
      </c>
      <c r="B4" s="257" t="s">
        <v>300</v>
      </c>
      <c r="C4" s="258" t="s">
        <v>3151</v>
      </c>
      <c r="D4" s="258" t="s">
        <v>3152</v>
      </c>
      <c r="E4" s="3424" t="s">
        <v>301</v>
      </c>
      <c r="F4" s="3425"/>
      <c r="G4" s="3425"/>
      <c r="H4" s="3425"/>
      <c r="I4" s="3460"/>
      <c r="J4" s="1912"/>
      <c r="K4" s="1911"/>
      <c r="L4" s="3193"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23" t="s">
        <v>302</v>
      </c>
      <c r="B5" s="3452">
        <v>25</v>
      </c>
      <c r="C5" s="3450"/>
      <c r="D5" s="3454"/>
      <c r="E5" s="259" t="s">
        <v>303</v>
      </c>
      <c r="F5" s="260"/>
      <c r="G5" s="260"/>
      <c r="H5" s="260"/>
      <c r="I5" s="261"/>
      <c r="J5" s="1912"/>
      <c r="K5" s="1911"/>
      <c r="L5" s="1911"/>
      <c r="M5" s="1911"/>
      <c r="N5" s="1911"/>
      <c r="O5" s="1911"/>
      <c r="P5" s="1911"/>
      <c r="Q5" s="1911"/>
      <c r="R5" s="1911"/>
      <c r="S5" s="1911"/>
      <c r="T5" s="1911"/>
      <c r="U5" s="1911"/>
      <c r="V5" s="1911"/>
    </row>
    <row r="6" spans="1:22" ht="14.25">
      <c r="A6" s="3423"/>
      <c r="B6" s="3452"/>
      <c r="C6" s="3453"/>
      <c r="D6" s="3454"/>
      <c r="E6" s="259" t="s">
        <v>304</v>
      </c>
      <c r="F6" s="260"/>
      <c r="G6" s="260"/>
      <c r="H6" s="260"/>
      <c r="I6" s="261"/>
      <c r="J6" s="1912"/>
      <c r="K6" s="1911"/>
      <c r="L6" s="1911"/>
      <c r="M6" s="1911"/>
      <c r="N6" s="1911"/>
      <c r="O6" s="1911"/>
      <c r="P6" s="1911"/>
      <c r="Q6" s="1911"/>
      <c r="R6" s="1911"/>
      <c r="S6" s="1911"/>
      <c r="T6" s="1911"/>
      <c r="U6" s="1911"/>
      <c r="V6" s="1911"/>
    </row>
    <row r="7" spans="1:22" ht="14.25">
      <c r="A7" s="3423"/>
      <c r="B7" s="3452"/>
      <c r="C7" s="3451"/>
      <c r="D7" s="3454"/>
      <c r="E7" s="259" t="s">
        <v>305</v>
      </c>
      <c r="F7" s="260"/>
      <c r="G7" s="260"/>
      <c r="H7" s="260"/>
      <c r="I7" s="261"/>
      <c r="J7" s="1912"/>
      <c r="K7" s="1911"/>
      <c r="L7" s="1911"/>
      <c r="M7" s="1911"/>
      <c r="N7" s="1911"/>
      <c r="O7" s="1911"/>
      <c r="P7" s="1911"/>
      <c r="Q7" s="1911"/>
      <c r="R7" s="1911"/>
      <c r="S7" s="1911"/>
      <c r="T7" s="1911"/>
      <c r="U7" s="1911"/>
      <c r="V7" s="1911"/>
    </row>
    <row r="8" spans="1:22" ht="14.25">
      <c r="A8" s="3423" t="s">
        <v>306</v>
      </c>
      <c r="B8" s="3452">
        <v>15</v>
      </c>
      <c r="C8" s="3450"/>
      <c r="D8" s="3454"/>
      <c r="E8" s="259" t="s">
        <v>307</v>
      </c>
      <c r="F8" s="260"/>
      <c r="G8" s="260"/>
      <c r="H8" s="260"/>
      <c r="I8" s="261"/>
      <c r="J8" s="1912"/>
      <c r="K8" s="1911"/>
      <c r="L8" s="1911"/>
      <c r="M8" s="1911"/>
      <c r="N8" s="1911"/>
      <c r="O8" s="1911"/>
      <c r="P8" s="1911"/>
      <c r="Q8" s="1911"/>
      <c r="R8" s="1911"/>
      <c r="S8" s="1911"/>
      <c r="T8" s="1911"/>
      <c r="U8" s="1911"/>
      <c r="V8" s="1911"/>
    </row>
    <row r="9" spans="1:22" ht="14.25">
      <c r="A9" s="3423"/>
      <c r="B9" s="3452"/>
      <c r="C9" s="3451"/>
      <c r="D9" s="3454"/>
      <c r="E9" s="259" t="s">
        <v>308</v>
      </c>
      <c r="F9" s="260"/>
      <c r="G9" s="260"/>
      <c r="H9" s="260"/>
      <c r="I9" s="261"/>
      <c r="J9" s="1912"/>
      <c r="K9" s="1911"/>
      <c r="L9" s="1911"/>
      <c r="M9" s="1911"/>
      <c r="N9" s="1911"/>
      <c r="O9" s="1911"/>
      <c r="P9" s="1911"/>
      <c r="Q9" s="1911"/>
      <c r="R9" s="1911"/>
      <c r="S9" s="1911"/>
      <c r="T9" s="1911"/>
      <c r="U9" s="1911"/>
      <c r="V9" s="1911"/>
    </row>
    <row r="10" spans="1:22" ht="14.25">
      <c r="A10" s="3423" t="s">
        <v>309</v>
      </c>
      <c r="B10" s="3452">
        <v>15</v>
      </c>
      <c r="C10" s="3450"/>
      <c r="D10" s="345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3"/>
      <c r="B11" s="3452"/>
      <c r="C11" s="3451"/>
      <c r="D11" s="345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3" t="s">
        <v>312</v>
      </c>
      <c r="B12" s="3452">
        <v>15</v>
      </c>
      <c r="C12" s="3450"/>
      <c r="D12" s="345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3"/>
      <c r="B13" s="3452"/>
      <c r="C13" s="3451"/>
      <c r="D13" s="345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3" t="s">
        <v>315</v>
      </c>
      <c r="B14" s="3452">
        <v>30</v>
      </c>
      <c r="C14" s="3450">
        <v>55</v>
      </c>
      <c r="D14" s="3454">
        <v>45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3"/>
      <c r="B15" s="3452"/>
      <c r="C15" s="3453"/>
      <c r="D15" s="345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3"/>
      <c r="B16" s="3452"/>
      <c r="C16" s="3451"/>
      <c r="D16" s="345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55</v>
      </c>
      <c r="D17" s="263">
        <f>SUM(D5:D16)</f>
        <v>45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0.55000000000000004</v>
      </c>
      <c r="D18" s="265">
        <f>1-C18</f>
        <v>0.44999999999999996</v>
      </c>
      <c r="E18" s="3455" t="s">
        <v>2947</v>
      </c>
      <c r="F18" s="3456"/>
      <c r="G18" s="3456"/>
      <c r="H18" s="3456"/>
      <c r="I18" s="3456"/>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4599</v>
      </c>
      <c r="D19" s="269">
        <f ca="1">SUMIF(INDIRECT("'"&amp;D4&amp;"'"&amp;"!A:A"),结果表!B19,INDIRECT("'"&amp;D4&amp;"'"&amp;"!B:B"))</f>
        <v>6570</v>
      </c>
      <c r="E19" s="266" t="s">
        <v>323</v>
      </c>
      <c r="F19" s="267" t="s">
        <v>322</v>
      </c>
      <c r="G19" s="270">
        <f ca="1">ROUND(C19*$C$18+D19*$D$18,0)</f>
        <v>5486</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1216</v>
      </c>
      <c r="D20" s="275">
        <f ca="1">SUMIF(INDIRECT("'"&amp;D4&amp;"'"&amp;"!A:A"),结果表!B20,INDIRECT("'"&amp;D4&amp;"'"&amp;"!B:B"))</f>
        <v>1737</v>
      </c>
      <c r="E20" s="272"/>
      <c r="F20" s="273" t="s">
        <v>325</v>
      </c>
      <c r="G20" s="276">
        <f ca="1">ROUND(C20*$C$18+D20*$D$18,0)</f>
        <v>1450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3648</v>
      </c>
      <c r="D21" s="149">
        <f ca="1">SUMIF(INDIRECT("'"&amp;D4&amp;"'"&amp;"!A:A"),结果表!B21,INDIRECT("'"&amp;D4&amp;"'"&amp;"!B:B"))</f>
        <v>5212</v>
      </c>
      <c r="E21" s="272"/>
      <c r="F21" s="278" t="s">
        <v>327</v>
      </c>
      <c r="G21" s="280">
        <f ca="1">ROUND(C21*$C$18+D21*$D$18,0)</f>
        <v>4352</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0.4285714285714286</v>
      </c>
      <c r="E22" s="282"/>
      <c r="F22" s="283"/>
      <c r="G22" s="284">
        <f ca="1">ROUND(G19/('数据-汇总表'!D3/666.67),0)</f>
        <v>290</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29"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30"/>
      <c r="B25" s="1275" t="s">
        <v>331</v>
      </c>
      <c r="C25" s="288">
        <f>IF(B30=0,0,C30)</f>
        <v>0</v>
      </c>
      <c r="D25" s="289"/>
      <c r="E25" s="309"/>
      <c r="F25" s="309"/>
      <c r="G25" s="309"/>
      <c r="H25" s="309"/>
      <c r="I25" s="309"/>
      <c r="J25" s="1911"/>
      <c r="K25" s="1209" t="str">
        <f ca="1">项目基本情况!B16&amp;"国有建设用地使用权价格："&amp;O38&amp;"万元"</f>
        <v>出让国有建设用地使用权价格：5486万元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大写金额：人民币伍仟肆佰捌拾陆万元整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单位面积地价：4352元/平方米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楼面地价：1451元/平方米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抵押价格：5486万元</v>
      </c>
      <c r="L29" s="1206"/>
      <c r="M29" s="1206"/>
      <c r="N29" s="1206"/>
      <c r="O29" s="1205"/>
      <c r="P29" s="1911"/>
      <c r="V29" s="1911"/>
    </row>
    <row r="30" spans="1:26" ht="18.75" thickBot="1">
      <c r="A30" s="2800" t="s">
        <v>336</v>
      </c>
      <c r="B30" s="307"/>
      <c r="C30" s="307"/>
      <c r="D30" s="308"/>
      <c r="E30" s="3003" t="s">
        <v>2948</v>
      </c>
      <c r="F30" s="309"/>
      <c r="G30" s="309"/>
      <c r="H30" s="309"/>
      <c r="I30" s="309"/>
      <c r="J30" s="1911"/>
      <c r="K30" s="1212" t="str">
        <f ca="1">IF(K29="——","——","大写金额：人民币"&amp;NUMBERSTRING(INT(O39*10000),2)&amp;"元整")</f>
        <v>大写金额：人民币伍仟肆佰捌拾陆万元整</v>
      </c>
      <c r="L30" s="1206"/>
      <c r="M30" s="1206"/>
      <c r="N30" s="1206"/>
      <c r="O30" s="1205"/>
      <c r="P30" s="1911"/>
      <c r="V30" s="1911"/>
    </row>
    <row r="31" spans="1:26" ht="24" customHeight="1" thickBot="1">
      <c r="A31" s="3457" t="s">
        <v>2949</v>
      </c>
      <c r="B31" s="3457"/>
      <c r="C31" s="3457"/>
      <c r="D31" s="3457"/>
      <c r="E31" s="3457"/>
      <c r="F31" s="3457"/>
      <c r="G31" s="3457"/>
      <c r="H31" s="3457"/>
      <c r="I31" s="3457"/>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1679</v>
      </c>
      <c r="C32" s="264">
        <f ca="1">G19-C24</f>
        <v>5486</v>
      </c>
      <c r="D32" s="3005"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3" t="s">
        <v>1681</v>
      </c>
      <c r="C33" s="262">
        <f ca="1">ROUND(C32*10000/'数据-汇总表'!E3,0)</f>
        <v>1451</v>
      </c>
      <c r="D33" s="1334" t="s">
        <v>1682</v>
      </c>
      <c r="E33" s="3429" t="s">
        <v>338</v>
      </c>
      <c r="F33" s="294" t="s">
        <v>339</v>
      </c>
      <c r="G33" s="295"/>
      <c r="H33" s="968"/>
      <c r="I33" s="1213"/>
      <c r="J33" s="1911"/>
      <c r="K33" s="1212" t="str">
        <f>IF(项目基本情况!E9="——","——","抵押净值："&amp;C46&amp;"万元")</f>
        <v>——</v>
      </c>
      <c r="L33" s="1206"/>
      <c r="M33" s="1206"/>
      <c r="N33" s="1206"/>
      <c r="O33" s="1205"/>
      <c r="P33" s="1911"/>
      <c r="V33" s="1911"/>
    </row>
    <row r="34" spans="1:26" s="1208" customFormat="1" ht="18.75" thickBot="1">
      <c r="A34" s="298"/>
      <c r="B34" s="1335" t="s">
        <v>1683</v>
      </c>
      <c r="C34" s="262">
        <f ca="1">ROUND(C32*10000/'数据-汇总表'!D3,0)</f>
        <v>4352</v>
      </c>
      <c r="D34" s="1336" t="s">
        <v>1682</v>
      </c>
      <c r="E34" s="3473"/>
      <c r="F34" s="127" t="s">
        <v>341</v>
      </c>
      <c r="G34" s="297"/>
      <c r="H34" s="105"/>
      <c r="I34" s="309"/>
      <c r="J34" s="1911"/>
      <c r="K34" s="1215" t="str">
        <f>IF(K33="——","——","大写金额：人民币"&amp;NUMBERSTRING(INT(O41*10000),2)&amp;"元整")</f>
        <v>——</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290</v>
      </c>
      <c r="D35" s="1339" t="s">
        <v>1684</v>
      </c>
      <c r="E35" s="3474"/>
      <c r="F35" s="299" t="s">
        <v>342</v>
      </c>
      <c r="G35" s="970"/>
      <c r="H35" s="969" t="s">
        <v>343</v>
      </c>
      <c r="I35" s="309"/>
      <c r="J35" s="1911"/>
      <c r="K35" s="3447" t="s">
        <v>350</v>
      </c>
      <c r="L35" s="3447" t="s">
        <v>351</v>
      </c>
      <c r="M35" s="1218" t="s">
        <v>352</v>
      </c>
      <c r="N35" s="3447" t="s">
        <v>353</v>
      </c>
      <c r="O35" s="3447" t="s">
        <v>354</v>
      </c>
      <c r="P35" s="1911"/>
      <c r="V35" s="1911"/>
    </row>
    <row r="36" spans="1:26" ht="16.5" customHeight="1">
      <c r="A36" s="301" t="s">
        <v>344</v>
      </c>
      <c r="B36" s="302" t="s">
        <v>333</v>
      </c>
      <c r="C36" s="303" t="s">
        <v>345</v>
      </c>
      <c r="D36" s="303" t="s">
        <v>346</v>
      </c>
      <c r="E36" s="304" t="s">
        <v>347</v>
      </c>
      <c r="F36" s="309"/>
      <c r="G36" s="309"/>
      <c r="H36" s="309"/>
      <c r="I36" s="309"/>
      <c r="J36" s="1913"/>
      <c r="K36" s="3448"/>
      <c r="L36" s="3448"/>
      <c r="M36" s="1220" t="s">
        <v>355</v>
      </c>
      <c r="N36" s="3448"/>
      <c r="O36" s="3448"/>
      <c r="P36" s="1911"/>
      <c r="V36" s="1911"/>
    </row>
    <row r="37" spans="1:26" ht="16.5" customHeight="1" thickBot="1">
      <c r="A37" s="1214" t="s">
        <v>348</v>
      </c>
      <c r="B37" s="305"/>
      <c r="C37" s="292"/>
      <c r="D37" s="292"/>
      <c r="E37" s="293"/>
      <c r="F37" s="309"/>
      <c r="G37" s="309"/>
      <c r="H37" s="309"/>
      <c r="I37" s="309"/>
      <c r="J37" s="1913"/>
      <c r="K37" s="3449"/>
      <c r="L37" s="3449"/>
      <c r="M37" s="1221"/>
      <c r="N37" s="3449"/>
      <c r="O37" s="3449"/>
      <c r="P37" s="1911"/>
      <c r="V37" s="1911"/>
    </row>
    <row r="38" spans="1:26" ht="16.5" customHeight="1" thickBot="1">
      <c r="A38" s="1214" t="s">
        <v>349</v>
      </c>
      <c r="B38" s="305"/>
      <c r="C38" s="292"/>
      <c r="D38" s="292"/>
      <c r="E38" s="293"/>
      <c r="F38" s="309"/>
      <c r="G38" s="309"/>
      <c r="H38" s="309"/>
      <c r="I38" s="309"/>
      <c r="J38" s="1913"/>
      <c r="K38" s="1222">
        <f>'数据-汇总表'!D3</f>
        <v>12606.51</v>
      </c>
      <c r="L38" s="1223">
        <f>'数据-汇总表'!E3</f>
        <v>37819.53</v>
      </c>
      <c r="M38" s="1223">
        <f ca="1">C34</f>
        <v>4352</v>
      </c>
      <c r="N38" s="1223">
        <f ca="1">C33</f>
        <v>1451</v>
      </c>
      <c r="O38" s="1224">
        <f ca="1">C32</f>
        <v>5486</v>
      </c>
      <c r="P38" s="1911"/>
      <c r="V38" s="1911"/>
    </row>
    <row r="39" spans="1:26" ht="16.5" customHeight="1" thickBot="1">
      <c r="A39" s="1219"/>
      <c r="B39" s="306"/>
      <c r="C39" s="307"/>
      <c r="D39" s="307"/>
      <c r="E39" s="308"/>
      <c r="F39" s="309"/>
      <c r="G39" s="309"/>
      <c r="H39" s="309"/>
      <c r="I39" s="309"/>
      <c r="J39" s="1913"/>
      <c r="K39" s="3487" t="str">
        <f>MID(A44,3,LEN(A44)-2)</f>
        <v>抵押价格</v>
      </c>
      <c r="L39" s="3488"/>
      <c r="M39" s="3488"/>
      <c r="N39" s="3489"/>
      <c r="O39" s="1341">
        <f ca="1">C44</f>
        <v>5486</v>
      </c>
      <c r="P39" s="1911"/>
      <c r="V39" s="1911"/>
    </row>
    <row r="40" spans="1:26" ht="19.5" thickBot="1">
      <c r="A40" s="104" t="s">
        <v>864</v>
      </c>
      <c r="B40" s="309"/>
      <c r="C40" s="309"/>
      <c r="D40" s="309"/>
      <c r="E40" s="309"/>
      <c r="F40" s="309"/>
      <c r="G40" s="309"/>
      <c r="H40" s="309"/>
      <c r="I40" s="309"/>
      <c r="J40" s="1913"/>
      <c r="K40" s="3487" t="str">
        <f t="shared" ref="K40:K41" si="0">MID(A45,3,LEN(A45)-2)</f>
        <v/>
      </c>
      <c r="L40" s="3488"/>
      <c r="M40" s="3488"/>
      <c r="N40" s="3489"/>
      <c r="O40" s="1341" t="str">
        <f>C45</f>
        <v>——</v>
      </c>
      <c r="P40" s="1911"/>
      <c r="V40" s="1911"/>
    </row>
    <row r="41" spans="1:26" ht="16.5" thickBot="1">
      <c r="A41" s="310" t="s">
        <v>356</v>
      </c>
      <c r="B41" s="311"/>
      <c r="C41" s="312" t="s">
        <v>357</v>
      </c>
      <c r="D41" s="313" t="s">
        <v>358</v>
      </c>
      <c r="E41" s="313" t="s">
        <v>359</v>
      </c>
      <c r="F41" s="314" t="s">
        <v>360</v>
      </c>
      <c r="G41" s="309"/>
      <c r="H41" s="309"/>
      <c r="I41" s="309"/>
      <c r="J41" s="1913"/>
      <c r="K41" s="3487" t="str">
        <f t="shared" si="0"/>
        <v/>
      </c>
      <c r="L41" s="3488"/>
      <c r="M41" s="3488"/>
      <c r="N41" s="3489"/>
      <c r="O41" s="1341" t="str">
        <f>C46</f>
        <v>——</v>
      </c>
      <c r="P41" s="1911"/>
      <c r="V41" s="1911"/>
    </row>
    <row r="42" spans="1:26" ht="29.25">
      <c r="A42" s="3431" t="s">
        <v>2053</v>
      </c>
      <c r="B42" s="3432"/>
      <c r="C42" s="262">
        <f ca="1">C32</f>
        <v>5486</v>
      </c>
      <c r="D42" s="315">
        <f ca="1">C33</f>
        <v>1451</v>
      </c>
      <c r="E42" s="315">
        <f ca="1">C34</f>
        <v>4352</v>
      </c>
      <c r="F42" s="316">
        <f ca="1">C35</f>
        <v>290</v>
      </c>
      <c r="G42" s="309"/>
      <c r="H42" s="309"/>
      <c r="I42" s="317"/>
      <c r="J42" s="1913"/>
      <c r="K42" s="1225" t="s">
        <v>361</v>
      </c>
      <c r="L42" s="1930" t="s">
        <v>362</v>
      </c>
      <c r="M42" s="1226" t="s">
        <v>363</v>
      </c>
      <c r="N42" s="1931" t="s">
        <v>364</v>
      </c>
      <c r="O42" s="1932" t="s">
        <v>365</v>
      </c>
      <c r="P42" s="1911"/>
      <c r="V42" s="1911"/>
    </row>
    <row r="43" spans="1:26" ht="30">
      <c r="A43" s="3442" t="s">
        <v>2706</v>
      </c>
      <c r="B43" s="3443"/>
      <c r="C43" s="262">
        <f>IF(H33="正常操作",G33+G34+G35,G34+G35)</f>
        <v>0</v>
      </c>
      <c r="D43" s="315" t="s">
        <v>43</v>
      </c>
      <c r="E43" s="315" t="s">
        <v>44</v>
      </c>
      <c r="F43" s="316" t="s">
        <v>44</v>
      </c>
      <c r="G43" s="2583" t="s">
        <v>943</v>
      </c>
      <c r="H43" s="309"/>
      <c r="I43" s="317"/>
      <c r="J43" s="1913"/>
      <c r="K43" s="1227" t="str">
        <f>C4</f>
        <v>比较法-住宅、综合</v>
      </c>
      <c r="L43" s="1228">
        <f ca="1">IF(L42="估价结果/万元",C19,C20)</f>
        <v>4599</v>
      </c>
      <c r="M43" s="1229">
        <f>C18</f>
        <v>0.55000000000000004</v>
      </c>
      <c r="N43" s="1230">
        <f ca="1">IF(N42="测算结果/万元",G19,G20)</f>
        <v>5486</v>
      </c>
      <c r="O43" s="1231">
        <f ca="1">IF(O42="最终结果/万元",C32,C33)</f>
        <v>5486</v>
      </c>
      <c r="P43" s="1911"/>
      <c r="V43" s="1911"/>
    </row>
    <row r="44" spans="1:26" ht="30.75" thickBot="1">
      <c r="A44" s="3431" t="str">
        <f>IF(OR(项目基本情况!E8="抵押价格",项目基本情况!E8="已注销及未注销"),"3.抵押价格","——")</f>
        <v>3.抵押价格</v>
      </c>
      <c r="B44" s="3432"/>
      <c r="C44" s="262">
        <f ca="1">IF(A44="——","——",C42-C43)</f>
        <v>5486</v>
      </c>
      <c r="D44" s="315">
        <f ca="1">ROUND(C44*10000/'数据-汇总表'!E3,0)</f>
        <v>1451</v>
      </c>
      <c r="E44" s="315">
        <f ca="1">ROUND(C44*10000/'数据-汇总表'!D3,0)</f>
        <v>4352</v>
      </c>
      <c r="F44" s="316">
        <f ca="1">ROUND(C44/('数据-汇总表'!D3/666.67),0)</f>
        <v>290</v>
      </c>
      <c r="G44" s="309"/>
      <c r="H44" s="309"/>
      <c r="I44" s="317"/>
      <c r="J44" s="1913"/>
      <c r="K44" s="1232" t="str">
        <f>D4</f>
        <v>剩余法-待开发</v>
      </c>
      <c r="L44" s="1233">
        <f ca="1">IF(L42="估价结果/万元",D19,D20)</f>
        <v>6570</v>
      </c>
      <c r="M44" s="1234">
        <f>D18</f>
        <v>0.44999999999999996</v>
      </c>
      <c r="N44" s="1235"/>
      <c r="O44" s="1236"/>
      <c r="P44" s="1911"/>
      <c r="V44" s="1911"/>
    </row>
    <row r="45" spans="1:26" ht="15">
      <c r="A45" s="3437" t="str">
        <f>IF(项目基本情况!E8="已注销及未注销","4.抵押担保权已注销时的抵押价格",IF(项目基本情况!E8="已注销","3.抵押担保权已注销时的抵押价格","——"))</f>
        <v>——</v>
      </c>
      <c r="B45" s="3438"/>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33" t="str">
        <f>IF(项目基本情况!E9="抵押净值",IF(A45="——","4.抵押净值","5.抵押净值"),"——")</f>
        <v>——</v>
      </c>
      <c r="B46" s="3434"/>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81" t="s">
        <v>374</v>
      </c>
      <c r="B63" s="3482"/>
      <c r="C63" s="3483"/>
      <c r="D63" s="339">
        <f ca="1">ROUND(C42*F63,0)</f>
        <v>5486</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39" t="s">
        <v>378</v>
      </c>
      <c r="B64" s="3440"/>
      <c r="C64" s="3440"/>
      <c r="D64" s="3440"/>
      <c r="E64" s="3440"/>
      <c r="F64" s="3440"/>
      <c r="G64" s="3441"/>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35" t="s">
        <v>386</v>
      </c>
      <c r="B66" s="3436"/>
      <c r="C66" s="3436"/>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96" t="s">
        <v>385</v>
      </c>
      <c r="M66" s="3497"/>
      <c r="N66" s="2312"/>
      <c r="O66" s="2313"/>
      <c r="P66" s="2314"/>
      <c r="Q66" s="1911"/>
      <c r="R66" s="1911"/>
      <c r="S66" s="1911"/>
      <c r="T66" s="1911"/>
      <c r="U66" s="1911"/>
      <c r="V66" s="1911"/>
    </row>
    <row r="67" spans="1:22" ht="25.5" customHeight="1">
      <c r="A67" s="350" t="s">
        <v>389</v>
      </c>
      <c r="B67" s="3426" t="s">
        <v>390</v>
      </c>
      <c r="C67" s="3426"/>
      <c r="D67" s="351">
        <v>0</v>
      </c>
      <c r="E67" s="41" t="s">
        <v>391</v>
      </c>
      <c r="F67" s="62" t="s">
        <v>21</v>
      </c>
      <c r="G67" s="3484"/>
      <c r="H67" s="3006" t="s">
        <v>2950</v>
      </c>
      <c r="I67" s="3008"/>
      <c r="J67" s="1918"/>
      <c r="K67" s="1890">
        <v>2</v>
      </c>
      <c r="L67" s="3490" t="s">
        <v>388</v>
      </c>
      <c r="M67" s="3490"/>
      <c r="N67" s="1279">
        <f>'数据-取费表'!B2</f>
        <v>44166</v>
      </c>
      <c r="O67" s="1279"/>
      <c r="P67" s="1279"/>
      <c r="Q67" s="1911"/>
      <c r="R67" s="1911"/>
      <c r="S67" s="1911"/>
      <c r="T67" s="1911"/>
      <c r="U67" s="1911"/>
      <c r="V67" s="1911"/>
    </row>
    <row r="68" spans="1:22" ht="25.5" customHeight="1">
      <c r="A68" s="352"/>
      <c r="B68" s="3426" t="s">
        <v>393</v>
      </c>
      <c r="C68" s="3426"/>
      <c r="D68" s="353"/>
      <c r="E68" s="77"/>
      <c r="F68" s="354"/>
      <c r="G68" s="3485"/>
      <c r="H68" s="3007" t="s">
        <v>2951</v>
      </c>
      <c r="I68" s="3008"/>
      <c r="J68" s="1918"/>
      <c r="K68" s="1890">
        <v>3</v>
      </c>
      <c r="L68" s="3490" t="s">
        <v>392</v>
      </c>
      <c r="M68" s="3490"/>
      <c r="N68" s="1247">
        <f ca="1">C42</f>
        <v>5486</v>
      </c>
      <c r="O68" s="1247"/>
      <c r="P68" s="1247"/>
      <c r="Q68" s="1911"/>
      <c r="R68" s="1911"/>
      <c r="S68" s="1911"/>
      <c r="T68" s="1911"/>
      <c r="U68" s="1911"/>
      <c r="V68" s="1911"/>
    </row>
    <row r="69" spans="1:22" ht="23.45" customHeight="1">
      <c r="A69" s="355"/>
      <c r="B69" s="3426" t="s">
        <v>394</v>
      </c>
      <c r="C69" s="3426"/>
      <c r="D69" s="356"/>
      <c r="E69" s="73"/>
      <c r="F69" s="354"/>
      <c r="G69" s="3486"/>
      <c r="H69" s="3007" t="s">
        <v>2952</v>
      </c>
      <c r="I69" s="3008"/>
      <c r="J69" s="1918"/>
      <c r="K69" s="1248">
        <v>4</v>
      </c>
      <c r="L69" s="3500" t="s">
        <v>2858</v>
      </c>
      <c r="M69" s="3501"/>
      <c r="N69" s="1249">
        <f ca="1">C44</f>
        <v>5486</v>
      </c>
      <c r="O69" s="1249"/>
      <c r="P69" s="1249"/>
      <c r="Q69" s="1911"/>
      <c r="R69" s="1911"/>
      <c r="S69" s="1911"/>
      <c r="T69" s="1911"/>
      <c r="U69" s="1911"/>
      <c r="V69" s="1911"/>
    </row>
    <row r="70" spans="1:22" ht="24" customHeight="1">
      <c r="A70" s="357" t="s">
        <v>395</v>
      </c>
      <c r="B70" s="3426" t="s">
        <v>396</v>
      </c>
      <c r="C70" s="3426"/>
      <c r="D70" s="356">
        <f ca="1">ROUND(D63*'数据-取费表'!B41/(1+'数据-取费表'!C42),0)</f>
        <v>287</v>
      </c>
      <c r="E70" s="17" t="s">
        <v>397</v>
      </c>
      <c r="F70" s="358">
        <f>'数据-取费表'!B41</f>
        <v>5.5000000000000007E-2</v>
      </c>
      <c r="G70" s="359"/>
      <c r="H70" s="309"/>
      <c r="I70" s="1246"/>
      <c r="J70" s="1918"/>
      <c r="K70" s="2765"/>
      <c r="L70" s="2766"/>
      <c r="M70" s="2766"/>
      <c r="N70" s="2767" t="s">
        <v>2862</v>
      </c>
      <c r="O70" s="2766"/>
      <c r="P70" s="2768"/>
      <c r="Q70" s="1911"/>
      <c r="R70" s="1911"/>
      <c r="S70" s="1911"/>
      <c r="T70" s="1911"/>
      <c r="U70" s="1911"/>
      <c r="V70" s="1911"/>
    </row>
    <row r="71" spans="1:22" ht="12" customHeight="1">
      <c r="A71" s="357" t="s">
        <v>403</v>
      </c>
      <c r="B71" s="3427" t="s">
        <v>2982</v>
      </c>
      <c r="C71" s="3428"/>
      <c r="D71" s="356">
        <f ca="1">ROUND(D63*'数据-取费表'!B41/(1+'数据-取费表'!C42),0)</f>
        <v>287</v>
      </c>
      <c r="E71" s="17" t="s">
        <v>397</v>
      </c>
      <c r="F71" s="358">
        <f>'数据-取费表'!B41</f>
        <v>5.5000000000000007E-2</v>
      </c>
      <c r="G71" s="359"/>
      <c r="H71" s="309"/>
      <c r="I71" s="1246"/>
      <c r="J71" s="1918"/>
      <c r="K71" s="2764" t="s">
        <v>398</v>
      </c>
      <c r="L71" s="3502" t="s">
        <v>399</v>
      </c>
      <c r="M71" s="3502"/>
      <c r="N71" s="2764" t="s">
        <v>400</v>
      </c>
      <c r="O71" s="2764" t="s">
        <v>401</v>
      </c>
      <c r="P71" s="2764" t="s">
        <v>402</v>
      </c>
      <c r="Q71" s="1911"/>
      <c r="R71" s="1911"/>
      <c r="S71" s="1911"/>
      <c r="T71" s="1911"/>
      <c r="U71" s="1911"/>
      <c r="V71" s="1911"/>
    </row>
    <row r="72" spans="1:22" ht="12" customHeight="1">
      <c r="A72" s="357" t="s">
        <v>405</v>
      </c>
      <c r="B72" s="3427" t="s">
        <v>2983</v>
      </c>
      <c r="C72" s="3428"/>
      <c r="D72" s="356">
        <f ca="1">C86</f>
        <v>287</v>
      </c>
      <c r="E72" s="73" t="s">
        <v>406</v>
      </c>
      <c r="F72" s="358">
        <f>'数据-取费表'!B41</f>
        <v>5.5000000000000007E-2</v>
      </c>
      <c r="G72" s="359"/>
      <c r="H72" s="1252"/>
      <c r="I72" s="1246"/>
      <c r="J72" s="1918"/>
      <c r="K72" s="1890">
        <v>1</v>
      </c>
      <c r="L72" s="3477" t="s">
        <v>404</v>
      </c>
      <c r="M72" s="3477"/>
      <c r="N72" s="1250" t="b">
        <f>D66</f>
        <v>0</v>
      </c>
      <c r="O72" s="1773" t="str">
        <f>E66</f>
        <v>销售额×税（费）率</v>
      </c>
      <c r="P72" s="1251">
        <f>F66</f>
        <v>5.5000000000000007E-2</v>
      </c>
      <c r="Q72" s="1911"/>
      <c r="R72" s="1911"/>
      <c r="S72" s="1911"/>
      <c r="T72" s="1911"/>
      <c r="U72" s="1911"/>
      <c r="V72" s="1911"/>
    </row>
    <row r="73" spans="1:22" ht="24" customHeight="1">
      <c r="A73" s="3472" t="s">
        <v>408</v>
      </c>
      <c r="B73" s="3436"/>
      <c r="C73" s="3436"/>
      <c r="D73" s="360">
        <f ca="1">IF(H73="个人住宅",0,ROUND(D63*I73,0))</f>
        <v>3</v>
      </c>
      <c r="E73" s="17" t="s">
        <v>409</v>
      </c>
      <c r="F73" s="358" t="str">
        <f>IF(H73="正常",I73,"免征")</f>
        <v>免征</v>
      </c>
      <c r="G73" s="359"/>
      <c r="H73" s="189"/>
      <c r="I73" s="358">
        <f>'数据-取费表'!B49</f>
        <v>5.0000000000000001E-4</v>
      </c>
      <c r="J73" s="1918"/>
      <c r="K73" s="1890">
        <v>2</v>
      </c>
      <c r="L73" s="3477" t="s">
        <v>407</v>
      </c>
      <c r="M73" s="3477"/>
      <c r="N73" s="1250">
        <f t="shared" ref="N73:P74" ca="1" si="1">D73</f>
        <v>3</v>
      </c>
      <c r="O73" s="1773" t="str">
        <f t="shared" si="1"/>
        <v>销售额×税（费）率</v>
      </c>
      <c r="P73" s="1251" t="str">
        <f t="shared" si="1"/>
        <v>免征</v>
      </c>
      <c r="Q73" s="1911"/>
      <c r="R73" s="1911"/>
      <c r="S73" s="1911"/>
      <c r="T73" s="1911"/>
      <c r="U73" s="1911"/>
      <c r="V73" s="1911"/>
    </row>
    <row r="74" spans="1:22" ht="24.75">
      <c r="A74" s="3472" t="s">
        <v>411</v>
      </c>
      <c r="B74" s="3436"/>
      <c r="C74" s="3436"/>
      <c r="D74" s="360">
        <f ca="1">IF(H74="个人住宅",D75,D76)</f>
        <v>3110</v>
      </c>
      <c r="E74" s="17" t="s">
        <v>412</v>
      </c>
      <c r="F74" s="358" t="str">
        <f>IF(H74="正常",F76,"免征")</f>
        <v>免征</v>
      </c>
      <c r="G74" s="971" t="s">
        <v>413</v>
      </c>
      <c r="H74" s="361"/>
      <c r="I74" s="42"/>
      <c r="J74" s="1918"/>
      <c r="K74" s="1890">
        <v>3</v>
      </c>
      <c r="L74" s="3477" t="s">
        <v>410</v>
      </c>
      <c r="M74" s="3477"/>
      <c r="N74" s="1250">
        <f t="shared" ca="1" si="1"/>
        <v>3110</v>
      </c>
      <c r="O74" s="1773" t="str">
        <f t="shared" si="1"/>
        <v>增值额×税（费）率</v>
      </c>
      <c r="P74" s="1253" t="str">
        <f t="shared" si="1"/>
        <v>免征</v>
      </c>
      <c r="Q74" s="1911"/>
      <c r="R74" s="1911"/>
      <c r="S74" s="1911"/>
      <c r="T74" s="1911"/>
      <c r="U74" s="1911"/>
      <c r="V74" s="1911"/>
    </row>
    <row r="75" spans="1:22" ht="12.75">
      <c r="A75" s="357" t="s">
        <v>414</v>
      </c>
      <c r="B75" s="3424" t="s">
        <v>415</v>
      </c>
      <c r="C75" s="3460"/>
      <c r="D75" s="362">
        <v>0</v>
      </c>
      <c r="E75" s="41" t="s">
        <v>416</v>
      </c>
      <c r="F75" s="363"/>
      <c r="G75" s="359"/>
      <c r="H75" s="42"/>
      <c r="I75" s="42"/>
      <c r="J75" s="1918"/>
      <c r="K75" s="2758">
        <f>IF(H77="非个人房产","",4)</f>
        <v>4</v>
      </c>
      <c r="L75" s="3477" t="str">
        <f>IF(H77="非个人房产","——","个人所得税")</f>
        <v>个人所得税</v>
      </c>
      <c r="M75" s="3477"/>
      <c r="N75" s="1254">
        <f>D77</f>
        <v>0</v>
      </c>
      <c r="O75" s="1786" t="str">
        <f>E77</f>
        <v>差额计税</v>
      </c>
      <c r="P75" s="1255">
        <f>F77</f>
        <v>0.01</v>
      </c>
      <c r="Q75" s="1911"/>
      <c r="R75" s="1911"/>
      <c r="S75" s="1911"/>
      <c r="T75" s="1911"/>
      <c r="U75" s="1911"/>
      <c r="V75" s="1911"/>
    </row>
    <row r="76" spans="1:22" ht="24.75">
      <c r="A76" s="357" t="s">
        <v>395</v>
      </c>
      <c r="B76" s="3424" t="s">
        <v>418</v>
      </c>
      <c r="C76" s="3425"/>
      <c r="D76" s="360">
        <f ca="1">IF(H76="转让取得",C99,C115)</f>
        <v>3110</v>
      </c>
      <c r="E76" s="17" t="s">
        <v>419</v>
      </c>
      <c r="F76" s="53" t="s">
        <v>21</v>
      </c>
      <c r="G76" s="359"/>
      <c r="H76" s="361"/>
      <c r="I76" s="42"/>
      <c r="J76" s="1918"/>
      <c r="K76" s="2758" t="str">
        <f>IF(项目基本情况!K6="上海银行",IF(K75="",4,K75+1),"")</f>
        <v/>
      </c>
      <c r="L76" s="3492" t="str">
        <f>IF(项目基本情况!K6="上海银行","其他处置费用","")</f>
        <v/>
      </c>
      <c r="M76" s="3493"/>
      <c r="N76" s="1250" t="str">
        <f>IF(项目基本情况!K6="上海银行",N89,"")</f>
        <v/>
      </c>
      <c r="O76" s="3494" t="str">
        <f>IF(项目基本情况!K6="上海银行","包含处置中涉及的律师、诉讼、拍卖、评估等费用","")</f>
        <v/>
      </c>
      <c r="P76" s="3495"/>
      <c r="Q76" s="1911"/>
      <c r="R76" s="1911"/>
      <c r="S76" s="1911"/>
      <c r="T76" s="1911"/>
      <c r="U76" s="1911"/>
      <c r="V76" s="1911"/>
    </row>
    <row r="77" spans="1:22" ht="24.75" thickBot="1">
      <c r="A77" s="3479" t="s">
        <v>421</v>
      </c>
      <c r="B77" s="3480"/>
      <c r="C77" s="3480"/>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2953</v>
      </c>
      <c r="J77" s="1918"/>
      <c r="K77" s="3478">
        <f>IF(AND(K75="",K76=""),4,IF(项目基本情况!K6="上海银行",K76+1,K75+1))</f>
        <v>5</v>
      </c>
      <c r="L77" s="3477" t="s">
        <v>2859</v>
      </c>
      <c r="M77" s="2763" t="s">
        <v>417</v>
      </c>
      <c r="N77" s="1256"/>
      <c r="O77" s="1257">
        <f ca="1">SUMIF(N72:N76,"&lt;9e307")</f>
        <v>3113</v>
      </c>
      <c r="P77" s="1258"/>
      <c r="Q77" s="2761">
        <f ca="1">O77/N69</f>
        <v>0.56744440393729489</v>
      </c>
      <c r="R77" s="1911"/>
      <c r="S77" s="1911"/>
      <c r="T77" s="1911"/>
      <c r="U77" s="1911"/>
      <c r="V77" s="1911"/>
    </row>
    <row r="78" spans="1:22" ht="12" customHeight="1">
      <c r="A78" s="1259"/>
      <c r="B78" s="309"/>
      <c r="C78" s="309"/>
      <c r="D78" s="309"/>
      <c r="E78" s="42"/>
      <c r="F78" s="42"/>
      <c r="G78" s="42"/>
      <c r="H78" s="991"/>
      <c r="I78" s="309"/>
      <c r="J78" s="1918"/>
      <c r="K78" s="3478"/>
      <c r="L78" s="3477"/>
      <c r="M78" s="2763" t="s">
        <v>420</v>
      </c>
      <c r="N78" s="1256"/>
      <c r="O78" s="1257" t="str">
        <f ca="1">NUMBERSTRING(INT(O77*10000),2)&amp;"元整"</f>
        <v>叁仟壹佰壹拾叁万元整</v>
      </c>
      <c r="P78" s="1258"/>
      <c r="Q78" s="1911"/>
      <c r="R78" s="1911"/>
      <c r="S78" s="1911"/>
      <c r="T78" s="1911"/>
      <c r="U78" s="1911"/>
      <c r="V78" s="1911"/>
    </row>
    <row r="79" spans="1:22" ht="13.5" thickBot="1">
      <c r="A79" s="3444" t="s">
        <v>422</v>
      </c>
      <c r="B79" s="3444"/>
      <c r="C79" s="3444"/>
      <c r="D79" s="3444"/>
      <c r="E79" s="3444"/>
      <c r="F79" s="42"/>
      <c r="G79" s="42"/>
      <c r="H79" s="991"/>
      <c r="I79" s="309"/>
      <c r="J79" s="1918"/>
      <c r="K79" s="3498">
        <f>K77+1</f>
        <v>6</v>
      </c>
      <c r="L79" s="3477" t="s">
        <v>2860</v>
      </c>
      <c r="M79" s="2763" t="s">
        <v>417</v>
      </c>
      <c r="N79" s="1256"/>
      <c r="O79" s="1257">
        <f ca="1">N69-O77</f>
        <v>2373</v>
      </c>
      <c r="P79" s="1258"/>
      <c r="Q79" s="1911"/>
      <c r="R79" s="1911"/>
      <c r="S79" s="1911"/>
      <c r="T79" s="1911"/>
      <c r="U79" s="1911"/>
      <c r="V79" s="1911"/>
    </row>
    <row r="80" spans="1:22" ht="25.5">
      <c r="A80" s="3445" t="s">
        <v>423</v>
      </c>
      <c r="B80" s="3446"/>
      <c r="C80" s="982"/>
      <c r="D80" s="982" t="s">
        <v>424</v>
      </c>
      <c r="E80" s="364" t="s">
        <v>425</v>
      </c>
      <c r="F80" s="42"/>
      <c r="G80" s="42"/>
      <c r="H80" s="991"/>
      <c r="I80" s="309"/>
      <c r="J80" s="1911"/>
      <c r="K80" s="3499"/>
      <c r="L80" s="3477"/>
      <c r="M80" s="2763" t="s">
        <v>420</v>
      </c>
      <c r="N80" s="1256"/>
      <c r="O80" s="1257" t="str">
        <f ca="1">NUMBERSTRING(INT(O79*10000),2)&amp;"元整"</f>
        <v>贰仟叁佰柒拾叁万元整</v>
      </c>
      <c r="P80" s="1258"/>
      <c r="Q80" s="1911"/>
      <c r="R80" s="1911"/>
      <c r="S80" s="1911"/>
      <c r="T80" s="1911"/>
      <c r="U80" s="1911"/>
      <c r="V80" s="1911"/>
    </row>
    <row r="81" spans="1:26" ht="13.5" thickBot="1">
      <c r="A81" s="375" t="s">
        <v>1814</v>
      </c>
      <c r="B81" s="365" t="s">
        <v>426</v>
      </c>
      <c r="C81" s="366">
        <f ca="1">ROUND((C82+C83)/(1+'数据-取费表'!C42),0)</f>
        <v>5225</v>
      </c>
      <c r="D81" s="367"/>
      <c r="E81" s="368"/>
      <c r="F81" s="42"/>
      <c r="G81" s="42"/>
      <c r="H81" s="991"/>
      <c r="I81" s="309"/>
      <c r="J81" s="1911"/>
      <c r="K81" s="2758">
        <f>K79+1</f>
        <v>7</v>
      </c>
      <c r="L81" s="3475" t="s">
        <v>2861</v>
      </c>
      <c r="M81" s="3476"/>
      <c r="N81" s="1260"/>
      <c r="O81" s="1261">
        <f ca="1">ROUND(O79*10000/'数据-汇总表'!E3,0)</f>
        <v>627</v>
      </c>
      <c r="P81" s="1262"/>
      <c r="Q81" s="1911"/>
      <c r="R81" s="1911"/>
      <c r="S81" s="1911"/>
      <c r="T81" s="1911"/>
      <c r="U81" s="1911"/>
      <c r="V81" s="1911"/>
    </row>
    <row r="82" spans="1:26" ht="13.5" thickTop="1">
      <c r="A82" s="369" t="s">
        <v>1815</v>
      </c>
      <c r="B82" s="370" t="s">
        <v>427</v>
      </c>
      <c r="C82" s="371">
        <f ca="1">D63</f>
        <v>5486</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91" t="s">
        <v>2849</v>
      </c>
      <c r="L83" s="2769" t="s">
        <v>2850</v>
      </c>
      <c r="M83" s="2759">
        <f ca="1">IF(N69&gt;10000,N69*0.5%,IF(AND(N69&gt;1000,N69&lt;=10000),N69*1%,IF(AND(N69&gt;100,N69&lt;=1000),N69*3%,IF(AND(N69&gt;10,N69&lt;=100),N69*5%,N69*8%))))</f>
        <v>54.86</v>
      </c>
      <c r="N83" s="53">
        <f ca="1">ROUND(M83,1)</f>
        <v>54.9</v>
      </c>
      <c r="O83" s="2762"/>
      <c r="P83" s="1911"/>
      <c r="Q83" s="1911"/>
      <c r="R83" s="1911"/>
      <c r="S83" s="1911"/>
      <c r="T83" s="1911"/>
      <c r="U83" s="1911"/>
      <c r="V83" s="1911"/>
    </row>
    <row r="84" spans="1:26" ht="12.75">
      <c r="A84" s="375" t="s">
        <v>1817</v>
      </c>
      <c r="B84" s="376" t="s">
        <v>429</v>
      </c>
      <c r="C84" s="377"/>
      <c r="D84" s="378" t="s">
        <v>19</v>
      </c>
      <c r="E84" s="2787" t="s">
        <v>2891</v>
      </c>
      <c r="F84" s="42"/>
      <c r="G84" s="42"/>
      <c r="H84" s="991"/>
      <c r="I84" s="309"/>
      <c r="J84" s="1911"/>
      <c r="K84" s="3491"/>
      <c r="L84" s="2769" t="s">
        <v>2851</v>
      </c>
      <c r="M84" s="2759">
        <f ca="1">IF(N69&gt;2000,N69*0.5%,IF(AND(N69&gt;1000,N69&lt;=2000),N69*0.6%,IF(AND(N69&gt;500,N69&lt;=1000),N69*0.7%,IF(AND(N69&gt;200,N69&lt;=500),N69*0.8%,IF(AND(N69&gt;100,N69&lt;=200),N69*0.9%,IF(AND(N69&gt;50,N69&lt;=100),N69*1%,IF(AND(N69&gt;20,N69&lt;=50),N69*1.5%,IF(AND(N69&gt;10,N69&lt;=20),N69*2%,IF(AND(N69&gt;1,N69&lt;=10),N69*2.5%)))))))))</f>
        <v>27.43</v>
      </c>
      <c r="N84" s="53">
        <f t="shared" ref="N84:N85" ca="1" si="2">ROUND(M84,1)</f>
        <v>27.4</v>
      </c>
      <c r="O84" s="1911" t="s">
        <v>2852</v>
      </c>
      <c r="P84" s="1911"/>
      <c r="Q84" s="1911"/>
      <c r="R84" s="1911"/>
      <c r="S84" s="1911"/>
      <c r="T84" s="1911"/>
      <c r="U84" s="1911"/>
      <c r="V84" s="1911"/>
    </row>
    <row r="85" spans="1:26" ht="12.75">
      <c r="A85" s="375" t="s">
        <v>1818</v>
      </c>
      <c r="B85" s="376" t="s">
        <v>430</v>
      </c>
      <c r="C85" s="379">
        <f ca="1">C81-C84</f>
        <v>5225</v>
      </c>
      <c r="D85" s="372" t="s">
        <v>19</v>
      </c>
      <c r="E85" s="373"/>
      <c r="F85" s="42"/>
      <c r="G85" s="42"/>
      <c r="H85" s="991"/>
      <c r="I85" s="309"/>
      <c r="J85" s="1911"/>
      <c r="K85" s="3491"/>
      <c r="L85" s="2769" t="s">
        <v>2853</v>
      </c>
      <c r="M85" s="2759">
        <f ca="1">IF(N69&gt;1000,N69*0.1%,IF(AND(N69&gt;500,N69&lt;=1000),N69*0.5%,IF(AND(N69&gt;50,N69&lt;=500),N69*1%,IF(AND(N69&gt;1,N69&lt;=50),N69*1.5%))))</f>
        <v>5.4859999999999998</v>
      </c>
      <c r="N85" s="53">
        <f t="shared" ca="1" si="2"/>
        <v>5.5</v>
      </c>
      <c r="O85" s="1911" t="s">
        <v>2852</v>
      </c>
      <c r="P85" s="1911"/>
      <c r="Q85" s="1911"/>
      <c r="R85" s="1911"/>
      <c r="S85" s="1911"/>
      <c r="T85" s="1911"/>
      <c r="U85" s="1911"/>
      <c r="V85" s="1911"/>
    </row>
    <row r="86" spans="1:26" ht="13.5" thickBot="1">
      <c r="A86" s="380" t="s">
        <v>1819</v>
      </c>
      <c r="B86" s="381" t="s">
        <v>431</v>
      </c>
      <c r="C86" s="382">
        <f ca="1">IF(C85&lt;=0,0,ROUND(C85*D86,0))</f>
        <v>287</v>
      </c>
      <c r="D86" s="383">
        <f>'数据-取费表'!B41</f>
        <v>5.5000000000000007E-2</v>
      </c>
      <c r="E86" s="384"/>
      <c r="F86" s="42"/>
      <c r="G86" s="42"/>
      <c r="H86" s="991"/>
      <c r="I86" s="309"/>
      <c r="J86" s="1911"/>
      <c r="K86" s="3491"/>
      <c r="L86" s="2769" t="s">
        <v>2854</v>
      </c>
      <c r="M86" s="2759">
        <f ca="1">N69*0.5%</f>
        <v>27.43</v>
      </c>
      <c r="N86" s="53">
        <f ca="1">IF(M86&gt;0.5,0.5,ROUND(M86,0))</f>
        <v>0.5</v>
      </c>
      <c r="O86" s="1911" t="s">
        <v>2855</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91"/>
      <c r="L87" s="2769" t="s">
        <v>2856</v>
      </c>
      <c r="M87" s="2759">
        <f ca="1">IF(N69&gt;=10000,(8.25+(N69-10000)*0.01%),IF(AND(N69&gt;=8000,N69&lt;10000),(7.85+(N69-8000)*0.02%),IF(AND(N69&gt;=5000,N69&lt;8000),(6.65+(N69-5000)*0.04%),IF(AND(N69&gt;=2000,N69&lt;5000),(4.25+(PN69-2000)*0.08%),IF(AND(N69&gt;=1000,N69&lt;2000),(2.75+(N69-1000)*0.15%),IF(AND(N69&gt;=100,N69&lt;1000),(0.5+(N69-100)*0.25%),IF(AND(N69&gt;0,N69&lt;100),N69*0.5%)))))))</f>
        <v>6.8444000000000003</v>
      </c>
      <c r="N87" s="53">
        <f ca="1">ROUND(M87*0.9,1)</f>
        <v>6.2</v>
      </c>
      <c r="O87" s="2762"/>
      <c r="P87" s="1911"/>
      <c r="Q87" s="1911"/>
      <c r="R87" s="1911"/>
      <c r="S87" s="1911"/>
      <c r="T87" s="1911"/>
      <c r="U87" s="1911"/>
      <c r="V87" s="1911"/>
      <c r="W87" s="290"/>
      <c r="X87" s="290"/>
      <c r="Y87" s="290"/>
      <c r="Z87" s="290"/>
    </row>
    <row r="88" spans="1:26" s="1268" customFormat="1" ht="15" thickBot="1">
      <c r="A88" s="3470" t="s">
        <v>432</v>
      </c>
      <c r="B88" s="3471"/>
      <c r="C88" s="3471"/>
      <c r="D88" s="3471"/>
      <c r="E88" s="3471"/>
      <c r="F88" s="3471"/>
      <c r="G88" s="3471"/>
      <c r="H88" s="3471"/>
      <c r="I88" s="1269"/>
      <c r="J88" s="1919"/>
      <c r="K88" s="3491"/>
      <c r="L88" s="2769" t="s">
        <v>2857</v>
      </c>
      <c r="M88" s="2759">
        <f ca="1">IF(N69&gt;10000,N69*0.5%,IF(AND(N69&gt;5000,N69&lt;=10000),N69*1%,IF(AND(N69&gt;1000,N69&lt;=5000),N69*2%,IF(AND(N69&gt;200,N69&lt;=1000),N69*3%,N69*5%))))</f>
        <v>54.86</v>
      </c>
      <c r="N88" s="53">
        <f ca="1">ROUND(M88,1)</f>
        <v>54.9</v>
      </c>
      <c r="O88" s="2762"/>
      <c r="P88" s="1916"/>
      <c r="Q88" s="1916"/>
      <c r="R88" s="1916"/>
      <c r="S88" s="1916"/>
      <c r="T88" s="1916"/>
      <c r="U88" s="1916"/>
      <c r="V88" s="1916"/>
      <c r="W88" s="1920"/>
      <c r="X88" s="1920"/>
      <c r="Y88" s="1920"/>
      <c r="Z88" s="1920"/>
    </row>
    <row r="89" spans="1:26" s="1268" customFormat="1" ht="14.25">
      <c r="A89" s="3445" t="s">
        <v>423</v>
      </c>
      <c r="B89" s="3446"/>
      <c r="C89" s="982"/>
      <c r="D89" s="982" t="s">
        <v>424</v>
      </c>
      <c r="E89" s="385" t="s">
        <v>433</v>
      </c>
      <c r="F89" s="386"/>
      <c r="G89" s="386"/>
      <c r="H89" s="387"/>
      <c r="I89" s="1270"/>
      <c r="J89" s="1921"/>
      <c r="K89" s="3491"/>
      <c r="L89" s="2769" t="s">
        <v>27</v>
      </c>
      <c r="M89" s="2760"/>
      <c r="N89" s="53">
        <f ca="1">ROUND(SUM(N83:N88),0)</f>
        <v>149</v>
      </c>
      <c r="O89" s="2770">
        <f ca="1">N89/N69</f>
        <v>2.7160043747721473E-2</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5225</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26</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27" t="s">
        <v>441</v>
      </c>
      <c r="F94" s="3426"/>
      <c r="G94" s="3426"/>
      <c r="H94" s="3469"/>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4.0500000000000001E-2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26</v>
      </c>
      <c r="D96" s="400">
        <f>'数据-取费表'!B43</f>
        <v>5.000000000000001E-3</v>
      </c>
      <c r="E96" s="3461" t="s">
        <v>2408</v>
      </c>
      <c r="F96" s="3462"/>
      <c r="G96" s="3462"/>
      <c r="H96" s="3463"/>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5199</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199.96153846153845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3110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70" t="s">
        <v>448</v>
      </c>
      <c r="B101" s="3471"/>
      <c r="C101" s="3471"/>
      <c r="D101" s="3471"/>
      <c r="E101" s="3471"/>
      <c r="F101" s="3471"/>
      <c r="G101" s="3471"/>
      <c r="H101" s="3471"/>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45" t="s">
        <v>423</v>
      </c>
      <c r="B102" s="3446"/>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5225</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26</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1" t="s">
        <v>2975</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4.0500000000000001E-2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21" t="s">
        <v>2945</v>
      </c>
      <c r="H108" s="3422"/>
      <c r="I108" s="2859"/>
      <c r="J108" s="1916"/>
      <c r="K108" s="3241" t="s">
        <v>2976</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64" t="s">
        <v>456</v>
      </c>
      <c r="F109" s="3462"/>
      <c r="G109" s="3462"/>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2">
        <v>0</v>
      </c>
      <c r="E110" s="3464" t="s">
        <v>458</v>
      </c>
      <c r="F110" s="3462"/>
      <c r="G110" s="3462"/>
      <c r="H110" s="3463"/>
      <c r="I110" s="11"/>
      <c r="J110" s="1916"/>
      <c r="K110" s="3242" t="s">
        <v>2977</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26</v>
      </c>
      <c r="D111" s="400">
        <f>'数据-取费表'!B43</f>
        <v>5.000000000000001E-3</v>
      </c>
      <c r="E111" s="3461" t="s">
        <v>2408</v>
      </c>
      <c r="F111" s="3462"/>
      <c r="G111" s="3462"/>
      <c r="H111" s="3463"/>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64" t="s">
        <v>2431</v>
      </c>
      <c r="F112" s="3462"/>
      <c r="G112" s="3462"/>
      <c r="H112" s="3463"/>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5199</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199.96153846153845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3110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2628</v>
      </c>
      <c r="B6" s="427"/>
      <c r="C6" s="1552">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4"/>
      <c r="M11" s="3194"/>
      <c r="N11" s="3194"/>
      <c r="O11" s="3194"/>
      <c r="P11" s="3194"/>
      <c r="Q11" s="3194"/>
      <c r="R11" s="3194"/>
      <c r="S11" s="3194"/>
      <c r="T11" s="3194"/>
      <c r="U11" s="3194"/>
      <c r="V11" s="3194"/>
      <c r="W11" s="3194"/>
      <c r="X11" s="3194"/>
      <c r="Y11" s="3194"/>
      <c r="Z11" s="3194"/>
    </row>
    <row r="12" spans="1:41" s="1967"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8" customFormat="1" ht="13.5" customHeight="1">
      <c r="A13" s="1562" t="s">
        <v>1839</v>
      </c>
      <c r="B13" s="443" t="s">
        <v>473</v>
      </c>
      <c r="C13" s="444">
        <f ca="1">IF(B1="",'数据-取费表'!M16,INDIRECT("'数据-取费表'!M"&amp;$K$1)+INDIRECT("'数据-取费表'!t"&amp;$K$1))</f>
        <v>8320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250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416</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454</v>
      </c>
      <c r="D16" s="445">
        <f ca="1">IF(B1="",'数据-汇总表'!E3,INDIRECT("'数据-取费表'!K"&amp;$K$1)+INDIRECT("'数据-取费表'!S"&amp;$K$1))</f>
        <v>37819.53</v>
      </c>
      <c r="E16" s="53">
        <f>'数据-取费表'!B35</f>
        <v>120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125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9565</v>
      </c>
      <c r="D18" s="455"/>
      <c r="E18" s="456"/>
      <c r="F18" s="456"/>
      <c r="G18" s="1281" t="s">
        <v>2411</v>
      </c>
      <c r="H18" s="441"/>
      <c r="I18" s="441"/>
      <c r="J18" s="441"/>
      <c r="K18" s="442"/>
      <c r="L18" s="3197"/>
      <c r="M18" s="3197"/>
      <c r="N18" s="3197"/>
      <c r="O18" s="3197"/>
      <c r="P18" s="3197"/>
      <c r="Q18" s="3197"/>
      <c r="R18" s="3197"/>
      <c r="S18" s="3197"/>
      <c r="T18" s="3197"/>
      <c r="U18" s="3197"/>
      <c r="V18" s="3197"/>
      <c r="W18" s="3197"/>
      <c r="X18" s="3197"/>
      <c r="Y18" s="3197"/>
      <c r="Z18" s="3197"/>
    </row>
    <row r="19" spans="1:26" s="2001" customFormat="1" ht="13.5" customHeight="1">
      <c r="A19" s="1563" t="s">
        <v>1845</v>
      </c>
      <c r="B19" s="453" t="s">
        <v>487</v>
      </c>
      <c r="C19" s="454">
        <f ca="1">ROUND(C18*F19,0)</f>
        <v>191</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3" customFormat="1" ht="13.5" customHeight="1">
      <c r="A21" s="1563" t="s">
        <v>1849</v>
      </c>
      <c r="B21" s="455" t="s">
        <v>488</v>
      </c>
      <c r="C21" s="464">
        <f ca="1">C22</f>
        <v>463</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5" t="s">
        <v>2432</v>
      </c>
      <c r="M21" s="3206"/>
      <c r="N21" s="3206"/>
      <c r="O21" s="3206"/>
      <c r="P21" s="3206"/>
      <c r="Q21" s="3199"/>
      <c r="R21" s="3199"/>
      <c r="S21" s="3199"/>
      <c r="T21" s="3199"/>
      <c r="U21" s="3199"/>
      <c r="V21" s="3199"/>
      <c r="W21" s="3199"/>
      <c r="X21" s="3199"/>
      <c r="Y21" s="3199"/>
      <c r="Z21" s="3199"/>
    </row>
    <row r="22" spans="1:26" s="2002" customFormat="1" ht="13.5" customHeight="1">
      <c r="A22" s="1562" t="s">
        <v>1839</v>
      </c>
      <c r="B22" s="1282" t="s">
        <v>2414</v>
      </c>
      <c r="C22" s="481">
        <f ca="1">ROUND(IF('数据-取费表'!B22&lt;=1,(C18+C19)*F21*'数据-取费表'!B20/2,(C18+C19)*(POWER((1+F21),'数据-取费表'!B20/2)-1)),0)</f>
        <v>463</v>
      </c>
      <c r="D22" s="466"/>
      <c r="E22" s="467"/>
      <c r="F22" s="468"/>
      <c r="G22" s="2420"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2" customFormat="1" ht="13.5" customHeight="1">
      <c r="A23" s="1562" t="s">
        <v>1840</v>
      </c>
      <c r="B23" s="1282" t="s">
        <v>502</v>
      </c>
      <c r="C23" s="482">
        <f ca="1">ROUND(IF('数据-取费表'!B22&lt;=1,F20*F21*'数据-取费表'!B20/2,F20*(POWER((1+F21),'数据-取费表'!B20/2)-1)),4)</f>
        <v>1E-3</v>
      </c>
      <c r="D23" s="466"/>
      <c r="E23" s="467"/>
      <c r="F23" s="468"/>
      <c r="G23" s="2420"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2" customFormat="1" ht="13.5" customHeight="1">
      <c r="A24" s="1563" t="s">
        <v>1850</v>
      </c>
      <c r="B24" s="2745" t="s">
        <v>2807</v>
      </c>
      <c r="C24" s="472">
        <f ca="1">C25</f>
        <v>976</v>
      </c>
      <c r="D24" s="483">
        <f ca="1">C26</f>
        <v>2E-3</v>
      </c>
      <c r="E24" s="463" t="s">
        <v>501</v>
      </c>
      <c r="F24" s="473">
        <f ca="1">IF(B1="",'数据-取费表'!Q16,INDIRECT("'数据-取费表'!q"&amp;$K$1))</f>
        <v>0.1</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2" customFormat="1" ht="13.5" customHeight="1">
      <c r="A25" s="1562" t="s">
        <v>1839</v>
      </c>
      <c r="B25" s="1282" t="s">
        <v>2415</v>
      </c>
      <c r="C25" s="484">
        <f ca="1">ROUND((C18+C19)*F24,0)</f>
        <v>976</v>
      </c>
      <c r="D25" s="466"/>
      <c r="E25" s="467"/>
      <c r="F25" s="474"/>
      <c r="G25" s="1280" t="s">
        <v>2412</v>
      </c>
      <c r="H25" s="451"/>
      <c r="I25" s="451"/>
      <c r="J25" s="451"/>
      <c r="K25" s="452"/>
      <c r="L25" s="3198"/>
      <c r="M25" s="3198"/>
      <c r="N25" s="3198"/>
      <c r="O25" s="3198"/>
      <c r="P25" s="3198"/>
      <c r="Q25" s="3198"/>
      <c r="R25" s="3198"/>
      <c r="S25" s="3198"/>
      <c r="T25" s="3198"/>
      <c r="U25" s="3198"/>
      <c r="V25" s="3198"/>
      <c r="W25" s="3198"/>
      <c r="X25" s="3198"/>
      <c r="Y25" s="3198"/>
      <c r="Z25" s="3198"/>
    </row>
    <row r="26" spans="1:26" s="2002" customFormat="1" ht="13.5" customHeight="1">
      <c r="A26" s="1562" t="s">
        <v>1840</v>
      </c>
      <c r="B26" s="1282" t="s">
        <v>503</v>
      </c>
      <c r="C26" s="485">
        <f ca="1">ROUND(F20*F24,4)</f>
        <v>2E-3</v>
      </c>
      <c r="D26" s="466"/>
      <c r="E26" s="475"/>
      <c r="F26" s="474"/>
      <c r="G26" s="1280"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2" customFormat="1" ht="13.5" customHeight="1">
      <c r="A27" s="1566" t="s">
        <v>1858</v>
      </c>
      <c r="B27" s="453" t="s">
        <v>505</v>
      </c>
      <c r="C27" s="2744">
        <f>ROUND(F27/(1+'数据-取费表'!C42),4)</f>
        <v>5.2400000000000002E-2</v>
      </c>
      <c r="D27" s="456" t="s">
        <v>2805</v>
      </c>
      <c r="E27" s="456"/>
      <c r="F27" s="460">
        <f>'数据-取费表'!B41</f>
        <v>5.5000000000000007E-2</v>
      </c>
      <c r="G27" s="1874" t="s">
        <v>2276</v>
      </c>
      <c r="H27" s="441"/>
      <c r="I27" s="441"/>
      <c r="J27" s="441"/>
      <c r="K27" s="442"/>
      <c r="L27" s="3198"/>
      <c r="M27" s="3198"/>
      <c r="N27" s="3198"/>
      <c r="O27" s="3198"/>
      <c r="P27" s="3198"/>
      <c r="Q27" s="3198"/>
      <c r="R27" s="3198"/>
      <c r="S27" s="3198"/>
      <c r="T27" s="3198"/>
      <c r="U27" s="3198"/>
      <c r="V27" s="3198"/>
      <c r="W27" s="3198"/>
      <c r="X27" s="3198"/>
      <c r="Y27" s="3198"/>
      <c r="Z27" s="3198"/>
    </row>
    <row r="28" spans="1:26" s="2003" customFormat="1" ht="13.5" customHeight="1">
      <c r="A28" s="1566" t="s">
        <v>1859</v>
      </c>
      <c r="B28" s="470" t="s">
        <v>506</v>
      </c>
      <c r="C28" s="464">
        <f ca="1">ROUND((C18+C19+C21+C24)/(1-C20-D21-D24-C27),0)</f>
        <v>12108</v>
      </c>
      <c r="D28" s="471"/>
      <c r="E28" s="463"/>
      <c r="F28" s="465"/>
      <c r="G28" s="1281" t="s">
        <v>2413</v>
      </c>
      <c r="H28" s="441"/>
      <c r="I28" s="441"/>
      <c r="J28" s="441"/>
      <c r="K28" s="442"/>
      <c r="L28" s="3199"/>
      <c r="M28" s="3199"/>
      <c r="N28" s="3199"/>
      <c r="O28" s="3199"/>
      <c r="P28" s="3199"/>
      <c r="Q28" s="3199"/>
      <c r="R28" s="3199"/>
      <c r="S28" s="3199"/>
      <c r="T28" s="3199"/>
      <c r="U28" s="3199"/>
      <c r="V28" s="3199"/>
      <c r="W28" s="3199"/>
      <c r="X28" s="3199"/>
      <c r="Y28" s="3199"/>
      <c r="Z28" s="3199"/>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3" customFormat="1" ht="13.5" customHeight="1">
      <c r="A30" s="437">
        <v>2</v>
      </c>
      <c r="B30" s="470" t="s">
        <v>508</v>
      </c>
      <c r="C30" s="491">
        <f ca="1">ROUND(C28*C29,0)</f>
        <v>0</v>
      </c>
      <c r="D30" s="487"/>
      <c r="E30" s="492"/>
      <c r="F30" s="493"/>
      <c r="G30" s="1283"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4"/>
      <c r="M31" s="3204"/>
      <c r="N31" s="3204"/>
      <c r="O31" s="3204"/>
      <c r="P31" s="3204"/>
      <c r="Q31" s="3204"/>
      <c r="R31" s="3204"/>
      <c r="S31" s="3204"/>
      <c r="T31" s="3204"/>
      <c r="U31" s="3204"/>
      <c r="V31" s="3204"/>
      <c r="W31" s="3204"/>
      <c r="X31" s="3204"/>
      <c r="Y31" s="3204"/>
      <c r="Z31" s="3204"/>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2920</v>
      </c>
      <c r="H32" s="477"/>
      <c r="I32" s="477"/>
      <c r="J32" s="477"/>
      <c r="K32" s="479"/>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27" t="str">
        <f>项目基本情况!B1</f>
        <v>湖北省黄石市大冶市罗桥商贸新区新冶大道东侧、职业技术学校北侧出让国有建设用地使用权抵押价格预评估</v>
      </c>
      <c r="C37" s="3327"/>
      <c r="D37" s="3327"/>
      <c r="E37" s="3327"/>
      <c r="F37" s="3327"/>
      <c r="G37" s="3327"/>
      <c r="H37" s="3327"/>
      <c r="I37" s="3327"/>
    </row>
    <row r="38" spans="1:9">
      <c r="A38" s="1585"/>
      <c r="B38" s="1585"/>
    </row>
    <row r="39" spans="1:9">
      <c r="A39" s="1583" t="s">
        <v>1892</v>
      </c>
      <c r="B39" s="1583" t="s">
        <v>2032</v>
      </c>
    </row>
    <row r="40" spans="1:9">
      <c r="A40" s="1583"/>
      <c r="B40" s="1583" t="str">
        <f>项目基本情况!B5</f>
        <v>光大兴陇信托有限责任公司</v>
      </c>
    </row>
    <row r="41" spans="1:9">
      <c r="A41" s="1583"/>
      <c r="B41" s="1583"/>
    </row>
    <row r="42" spans="1:9">
      <c r="A42" s="1583" t="s">
        <v>1892</v>
      </c>
      <c r="B42" s="1583" t="s">
        <v>2033</v>
      </c>
    </row>
    <row r="43" spans="1:9">
      <c r="A43" s="1583"/>
      <c r="B43" s="1583" t="s">
        <v>1894</v>
      </c>
    </row>
    <row r="44" spans="1:9">
      <c r="A44" s="1583"/>
      <c r="B44" s="1583"/>
    </row>
    <row r="45" spans="1:9">
      <c r="A45" s="1583" t="s">
        <v>1892</v>
      </c>
      <c r="B45" s="1583" t="s">
        <v>2031</v>
      </c>
    </row>
    <row r="46" spans="1:9" s="1583" customFormat="1" ht="12.75">
      <c r="B46" s="1583" t="str">
        <f>项目基本情况!K4</f>
        <v>崔锴、郑燚</v>
      </c>
    </row>
    <row r="47" spans="1:9">
      <c r="A47" s="1583"/>
      <c r="B47" s="1583"/>
    </row>
    <row r="48" spans="1:9">
      <c r="A48" s="1583" t="s">
        <v>1892</v>
      </c>
      <c r="B48" s="1583" t="s">
        <v>2034</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tabSelected="1" view="pageBreakPreview" topLeftCell="A18" zoomScale="85" zoomScaleNormal="95" zoomScaleSheetLayoutView="85" workbookViewId="0">
      <selection activeCell="F51" sqref="F51"/>
    </sheetView>
  </sheetViews>
  <sheetFormatPr defaultColWidth="9" defaultRowHeight="14.25"/>
  <cols>
    <col min="1" max="1" width="15.625" style="1291" customWidth="1"/>
    <col min="2" max="2" width="15.75" style="1291" customWidth="1"/>
    <col min="3" max="3" width="16.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7"/>
      <c r="M1" s="3208"/>
      <c r="N1" s="3208"/>
      <c r="O1" s="3208"/>
      <c r="P1" s="2014"/>
      <c r="Q1" s="2014"/>
      <c r="R1" s="2014"/>
      <c r="S1" s="2014"/>
      <c r="T1" s="2014"/>
      <c r="U1" s="2014"/>
      <c r="V1" s="2014"/>
      <c r="W1" s="2014"/>
      <c r="X1" s="2014"/>
      <c r="Y1" s="2014"/>
      <c r="Z1" s="2014"/>
      <c r="AA1" s="2014"/>
      <c r="AB1" s="2014"/>
      <c r="AC1" s="3209"/>
      <c r="AD1" s="1289"/>
    </row>
    <row r="2" spans="1:30" s="1290" customFormat="1" ht="28.5" customHeight="1">
      <c r="A2" s="417" t="s">
        <v>461</v>
      </c>
      <c r="B2" s="502">
        <f>F68</f>
        <v>4599</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9"/>
    </row>
    <row r="3" spans="1:30" s="1290" customFormat="1" ht="28.5" customHeight="1">
      <c r="A3" s="1331" t="s">
        <v>1675</v>
      </c>
      <c r="B3" s="504">
        <f>ROUND(B2*10000/'数据-汇总表'!E3,0)</f>
        <v>1216</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90" customFormat="1" ht="28.5" customHeight="1">
      <c r="A4" s="505" t="s">
        <v>514</v>
      </c>
      <c r="B4" s="421">
        <f>IF(B48="单位面积地价",C50,ROUND(B2*10000/'数据-汇总表'!D3,0))</f>
        <v>3648</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243</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12" t="s">
        <v>516</v>
      </c>
      <c r="D6" s="3513"/>
      <c r="E6" s="3512" t="s">
        <v>517</v>
      </c>
      <c r="F6" s="3513"/>
      <c r="G6" s="3512" t="s">
        <v>518</v>
      </c>
      <c r="H6" s="3513"/>
      <c r="I6" s="3512" t="s">
        <v>519</v>
      </c>
      <c r="J6" s="3513"/>
      <c r="K6" s="508" t="s">
        <v>520</v>
      </c>
      <c r="L6" s="2015"/>
      <c r="M6" s="2014"/>
      <c r="N6" s="2014"/>
      <c r="O6" s="2016"/>
      <c r="P6" s="3514" t="s">
        <v>521</v>
      </c>
      <c r="Q6" s="3515"/>
      <c r="R6" s="3520" t="s">
        <v>517</v>
      </c>
      <c r="S6" s="3521"/>
      <c r="T6" s="3520" t="s">
        <v>518</v>
      </c>
      <c r="U6" s="3521"/>
      <c r="V6" s="3507" t="s">
        <v>519</v>
      </c>
      <c r="W6" s="3507"/>
      <c r="X6" s="1502"/>
      <c r="Y6" s="3520" t="s">
        <v>521</v>
      </c>
      <c r="Z6" s="3521"/>
      <c r="AA6" s="3509" t="s">
        <v>517</v>
      </c>
      <c r="AB6" s="3510" t="s">
        <v>518</v>
      </c>
      <c r="AC6" s="3509" t="s">
        <v>519</v>
      </c>
    </row>
    <row r="7" spans="1:30" ht="38.25" customHeight="1">
      <c r="A7" s="509"/>
      <c r="B7" s="510"/>
      <c r="C7" s="3530" t="str">
        <f>项目基本情况!F10</f>
        <v>大冶市罗桥商贸新区新冶大道东侧、职业技术学校北侧</v>
      </c>
      <c r="D7" s="3531"/>
      <c r="E7" s="3528" t="str">
        <f>土地案例!$A$12</f>
        <v>大棋路以北宝山路以西山南铁路以南A-01</v>
      </c>
      <c r="F7" s="3529"/>
      <c r="G7" s="3528" t="str">
        <f>土地案例!$A$37</f>
        <v>核心区西区圣明路以东B24路以北A23路以西</v>
      </c>
      <c r="H7" s="3529"/>
      <c r="I7" s="3528" t="str">
        <f>土地案例!A43</f>
        <v>大棋路以北圣明路以东四棵大道以南A-02</v>
      </c>
      <c r="J7" s="3529"/>
      <c r="K7" s="508"/>
      <c r="L7" s="2015"/>
      <c r="M7" s="2014"/>
      <c r="N7" s="2014"/>
      <c r="O7" s="2016"/>
      <c r="P7" s="3516"/>
      <c r="Q7" s="3517"/>
      <c r="R7" s="3522"/>
      <c r="S7" s="3523"/>
      <c r="T7" s="3522"/>
      <c r="U7" s="3523"/>
      <c r="V7" s="3507"/>
      <c r="W7" s="3507"/>
      <c r="X7" s="1502"/>
      <c r="Y7" s="3522"/>
      <c r="Z7" s="3523"/>
      <c r="AA7" s="3510"/>
      <c r="AB7" s="3510"/>
      <c r="AC7" s="3510"/>
    </row>
    <row r="8" spans="1:30" ht="21" thickBot="1">
      <c r="A8" s="509"/>
      <c r="B8" s="510"/>
      <c r="C8" s="3532" t="s">
        <v>2884</v>
      </c>
      <c r="D8" s="3533"/>
      <c r="E8" s="3532" t="s">
        <v>2884</v>
      </c>
      <c r="F8" s="3533"/>
      <c r="G8" s="3526" t="s">
        <v>2884</v>
      </c>
      <c r="H8" s="3527"/>
      <c r="I8" s="3526" t="s">
        <v>2884</v>
      </c>
      <c r="J8" s="3527"/>
      <c r="K8" s="508" t="s">
        <v>522</v>
      </c>
      <c r="L8" s="2015"/>
      <c r="M8" s="2014"/>
      <c r="N8" s="2014"/>
      <c r="O8" s="2016"/>
      <c r="P8" s="3518"/>
      <c r="Q8" s="3519"/>
      <c r="R8" s="3522"/>
      <c r="S8" s="3523"/>
      <c r="T8" s="3524"/>
      <c r="U8" s="3525"/>
      <c r="V8" s="3507"/>
      <c r="W8" s="3507"/>
      <c r="X8" s="1502"/>
      <c r="Y8" s="3524"/>
      <c r="Z8" s="3525"/>
      <c r="AA8" s="3511"/>
      <c r="AB8" s="3511"/>
      <c r="AC8" s="3511"/>
    </row>
    <row r="9" spans="1:30" s="1203" customFormat="1" ht="21" thickBot="1">
      <c r="A9" s="2629"/>
      <c r="B9" s="2636" t="s">
        <v>523</v>
      </c>
      <c r="C9" s="2628">
        <f>'数据-取费表'!B2</f>
        <v>44166</v>
      </c>
      <c r="D9" s="514">
        <v>100</v>
      </c>
      <c r="E9" s="515" t="str">
        <f>土地案例!K12</f>
        <v>2020-10-15</v>
      </c>
      <c r="F9" s="516">
        <f>SUMIF(72:72,YEAR(E9)&amp;"-"&amp;INT((MONTH(E9)+2)/3),73:73)</f>
        <v>100</v>
      </c>
      <c r="G9" s="517" t="str">
        <f>土地案例!K37</f>
        <v>2019-12-13</v>
      </c>
      <c r="H9" s="514">
        <f>SUMIF(72:72,YEAR(G9)&amp;"-"&amp;INT((MONTH(G9)+2)/3),73:73)</f>
        <v>96</v>
      </c>
      <c r="I9" s="517" t="str">
        <f>土地案例!K43</f>
        <v>2019-09-23</v>
      </c>
      <c r="J9" s="514">
        <f>SUMIF(72:72,YEAR(I9)&amp;"-"&amp;INT((MONTH(I9)+2)/3),73:73)</f>
        <v>95</v>
      </c>
      <c r="K9" s="518"/>
      <c r="L9" s="2017"/>
      <c r="M9" s="2014"/>
      <c r="N9" s="2014"/>
      <c r="O9" s="2018"/>
      <c r="P9" s="3539" t="s">
        <v>524</v>
      </c>
      <c r="Q9" s="3541"/>
      <c r="R9" s="1503" t="s">
        <v>8</v>
      </c>
      <c r="S9" s="1504">
        <f t="shared" ref="S9:S17" si="0">F9</f>
        <v>100</v>
      </c>
      <c r="T9" s="1503" t="s">
        <v>8</v>
      </c>
      <c r="U9" s="1504">
        <f t="shared" ref="U9:U17" si="1">H9</f>
        <v>96</v>
      </c>
      <c r="V9" s="1503" t="s">
        <v>8</v>
      </c>
      <c r="W9" s="1504">
        <f t="shared" ref="W9:W17" si="2">J9</f>
        <v>95</v>
      </c>
      <c r="X9" s="1505"/>
      <c r="Y9" s="3539" t="s">
        <v>524</v>
      </c>
      <c r="Z9" s="3540"/>
      <c r="AA9" s="1506">
        <f>D9/F9</f>
        <v>1</v>
      </c>
      <c r="AB9" s="1506">
        <f>D9/H9</f>
        <v>1.0416666666666667</v>
      </c>
      <c r="AC9" s="1506">
        <f>D9/J9</f>
        <v>1.0526315789473684</v>
      </c>
    </row>
    <row r="10" spans="1:30" s="1203" customFormat="1" ht="21" thickBot="1">
      <c r="A10" s="2630"/>
      <c r="B10" s="2637" t="s">
        <v>525</v>
      </c>
      <c r="C10" s="845" t="s">
        <v>526</v>
      </c>
      <c r="D10" s="514">
        <v>100</v>
      </c>
      <c r="E10" s="519" t="s">
        <v>3172</v>
      </c>
      <c r="F10" s="516">
        <f>SUMIF(75:75,E10,76:76)-SUMIF(75:75,C10,76:76)+100</f>
        <v>100</v>
      </c>
      <c r="G10" s="519" t="s">
        <v>3172</v>
      </c>
      <c r="H10" s="514">
        <f>SUMIF(75:75,G10,76:76)-SUMIF(75:75,C10,76:76)+100</f>
        <v>100</v>
      </c>
      <c r="I10" s="519" t="s">
        <v>3172</v>
      </c>
      <c r="J10" s="514">
        <f>SUMIF(75:75,I10,76:76)-SUMIF(75:75,C10,76:76)+100</f>
        <v>100</v>
      </c>
      <c r="K10" s="518"/>
      <c r="L10" s="2017"/>
      <c r="M10" s="2014"/>
      <c r="N10" s="2014"/>
      <c r="O10" s="2018"/>
      <c r="P10" s="3539" t="s">
        <v>527</v>
      </c>
      <c r="Q10" s="3540"/>
      <c r="R10" s="1503" t="s">
        <v>8</v>
      </c>
      <c r="S10" s="1504">
        <f t="shared" si="0"/>
        <v>100</v>
      </c>
      <c r="T10" s="1503" t="s">
        <v>8</v>
      </c>
      <c r="U10" s="1504">
        <f t="shared" si="1"/>
        <v>100</v>
      </c>
      <c r="V10" s="1503" t="s">
        <v>8</v>
      </c>
      <c r="W10" s="1504">
        <f t="shared" si="2"/>
        <v>100</v>
      </c>
      <c r="X10" s="1505"/>
      <c r="Y10" s="3539" t="s">
        <v>527</v>
      </c>
      <c r="Z10" s="3540"/>
      <c r="AA10" s="1506">
        <f t="shared" ref="AA10:AA47" si="3">D10/F10</f>
        <v>1</v>
      </c>
      <c r="AB10" s="1506">
        <f t="shared" ref="AB10:AB47" si="4">D10/H10</f>
        <v>1</v>
      </c>
      <c r="AC10" s="1506">
        <f t="shared" ref="AC10:AC47" si="5">D10/J10</f>
        <v>1</v>
      </c>
    </row>
    <row r="11" spans="1:30" s="1203" customFormat="1" ht="20.25">
      <c r="A11" s="2631"/>
      <c r="B11" s="2638" t="s">
        <v>2732</v>
      </c>
      <c r="C11" s="2625" t="s">
        <v>3025</v>
      </c>
      <c r="D11" s="252">
        <v>100</v>
      </c>
      <c r="E11" s="520" t="s">
        <v>3025</v>
      </c>
      <c r="F11" s="252">
        <f>SUMIF(77:77,E11,78:78)-SUMIF(77:77,C11,78:78)+100</f>
        <v>100</v>
      </c>
      <c r="G11" s="520" t="s">
        <v>3025</v>
      </c>
      <c r="H11" s="252">
        <f>SUMIF(77:77,G11,78:78)-SUMIF(77:77,C11,78:78)+100</f>
        <v>100</v>
      </c>
      <c r="I11" s="520" t="s">
        <v>3025</v>
      </c>
      <c r="J11" s="252">
        <f>SUMIF(77:77,I11,78:78)-SUMIF(77:77,C11,78:78)+100</f>
        <v>100</v>
      </c>
      <c r="K11" s="518"/>
      <c r="L11" s="2017"/>
      <c r="M11" s="2014"/>
      <c r="N11" s="2014"/>
      <c r="O11" s="2019"/>
      <c r="P11" s="3506" t="s">
        <v>529</v>
      </c>
      <c r="Q11" s="1134" t="str">
        <f t="shared" ref="Q11:Q17" si="6">B11</f>
        <v>用途</v>
      </c>
      <c r="R11" s="1503" t="s">
        <v>8</v>
      </c>
      <c r="S11" s="1504">
        <f t="shared" si="0"/>
        <v>100</v>
      </c>
      <c r="T11" s="1503" t="s">
        <v>8</v>
      </c>
      <c r="U11" s="1504">
        <f t="shared" si="1"/>
        <v>100</v>
      </c>
      <c r="V11" s="1503" t="s">
        <v>8</v>
      </c>
      <c r="W11" s="1504">
        <f t="shared" si="2"/>
        <v>100</v>
      </c>
      <c r="X11" s="1505"/>
      <c r="Y11" s="3452" t="s">
        <v>530</v>
      </c>
      <c r="Z11" s="1133" t="str">
        <f t="shared" ref="Z11:Z17" si="7">Q11</f>
        <v>用途</v>
      </c>
      <c r="AA11" s="1506">
        <f t="shared" si="3"/>
        <v>1</v>
      </c>
      <c r="AB11" s="1506">
        <f t="shared" si="4"/>
        <v>1</v>
      </c>
      <c r="AC11" s="1506">
        <f t="shared" si="5"/>
        <v>1</v>
      </c>
    </row>
    <row r="12" spans="1:30" s="1292" customFormat="1" ht="27">
      <c r="A12" s="2632"/>
      <c r="B12" s="2637" t="s">
        <v>2733</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06"/>
      <c r="Q12" s="1134" t="str">
        <f t="shared" si="6"/>
        <v>土地使用年限（年）</v>
      </c>
      <c r="R12" s="1503" t="s">
        <v>8</v>
      </c>
      <c r="S12" s="1504">
        <f t="shared" si="0"/>
        <v>100</v>
      </c>
      <c r="T12" s="1503" t="s">
        <v>8</v>
      </c>
      <c r="U12" s="1504">
        <f t="shared" si="1"/>
        <v>100</v>
      </c>
      <c r="V12" s="1503" t="s">
        <v>8</v>
      </c>
      <c r="W12" s="1504">
        <f t="shared" si="2"/>
        <v>100</v>
      </c>
      <c r="X12" s="1505"/>
      <c r="Y12" s="3452"/>
      <c r="Z12" s="1133" t="str">
        <f t="shared" si="7"/>
        <v>土地使用年限（年）</v>
      </c>
      <c r="AA12" s="1506">
        <f t="shared" si="3"/>
        <v>1</v>
      </c>
      <c r="AB12" s="1506">
        <f t="shared" si="4"/>
        <v>1</v>
      </c>
      <c r="AC12" s="1506">
        <f t="shared" si="5"/>
        <v>1</v>
      </c>
    </row>
    <row r="13" spans="1:30" ht="20.25">
      <c r="A13" s="2633"/>
      <c r="B13" s="2637" t="s">
        <v>2734</v>
      </c>
      <c r="C13" s="528">
        <v>3</v>
      </c>
      <c r="D13" s="253">
        <v>100</v>
      </c>
      <c r="E13" s="527">
        <f>土地案例!G12</f>
        <v>3</v>
      </c>
      <c r="F13" s="253">
        <f>LOOKUP(E13,82:82,83:83)-LOOKUP(C13,82:82,83:83)+100</f>
        <v>100</v>
      </c>
      <c r="G13" s="528">
        <f>土地案例!G37</f>
        <v>2.5</v>
      </c>
      <c r="H13" s="253">
        <f>LOOKUP(G13,82:82,83:83)-LOOKUP(C13,82:82,83:83)+100</f>
        <v>102</v>
      </c>
      <c r="I13" s="527">
        <f>土地案例!G43</f>
        <v>2.5</v>
      </c>
      <c r="J13" s="253">
        <f>LOOKUP(I13,82:82,83:83)-LOOKUP(C13,82:82,83:83)+100</f>
        <v>102</v>
      </c>
      <c r="K13" s="529">
        <v>2</v>
      </c>
      <c r="L13" s="2022"/>
      <c r="M13" s="2014"/>
      <c r="N13" s="2014"/>
      <c r="O13" s="2023"/>
      <c r="P13" s="3506"/>
      <c r="Q13" s="1134" t="str">
        <f t="shared" si="6"/>
        <v>容积率</v>
      </c>
      <c r="R13" s="1503" t="s">
        <v>8</v>
      </c>
      <c r="S13" s="1504">
        <f t="shared" si="0"/>
        <v>100</v>
      </c>
      <c r="T13" s="1503" t="s">
        <v>8</v>
      </c>
      <c r="U13" s="1504">
        <f t="shared" si="1"/>
        <v>102</v>
      </c>
      <c r="V13" s="1503" t="s">
        <v>8</v>
      </c>
      <c r="W13" s="1504">
        <f t="shared" si="2"/>
        <v>102</v>
      </c>
      <c r="X13" s="1505"/>
      <c r="Y13" s="3452"/>
      <c r="Z13" s="1133" t="str">
        <f t="shared" si="7"/>
        <v>容积率</v>
      </c>
      <c r="AA13" s="1506">
        <f t="shared" si="3"/>
        <v>1</v>
      </c>
      <c r="AB13" s="1506">
        <f t="shared" si="4"/>
        <v>0.98039215686274506</v>
      </c>
      <c r="AC13" s="1506">
        <f t="shared" si="5"/>
        <v>0.98039215686274506</v>
      </c>
    </row>
    <row r="14" spans="1:30" s="1203" customFormat="1" ht="21" thickBot="1">
      <c r="A14" s="2630"/>
      <c r="B14" s="2639" t="s">
        <v>2735</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06"/>
      <c r="Q14" s="1134" t="str">
        <f t="shared" si="6"/>
        <v>配建</v>
      </c>
      <c r="R14" s="1503" t="s">
        <v>8</v>
      </c>
      <c r="S14" s="1504">
        <f t="shared" si="0"/>
        <v>100</v>
      </c>
      <c r="T14" s="1503" t="s">
        <v>8</v>
      </c>
      <c r="U14" s="1504">
        <f t="shared" si="1"/>
        <v>100</v>
      </c>
      <c r="V14" s="1503" t="s">
        <v>8</v>
      </c>
      <c r="W14" s="1504">
        <f t="shared" si="2"/>
        <v>100</v>
      </c>
      <c r="X14" s="1505"/>
      <c r="Y14" s="3452"/>
      <c r="Z14" s="1133" t="str">
        <f t="shared" si="7"/>
        <v>配建</v>
      </c>
      <c r="AA14" s="1506">
        <f>D14/F14</f>
        <v>1</v>
      </c>
      <c r="AB14" s="1506">
        <f>D14/H14</f>
        <v>1</v>
      </c>
      <c r="AC14" s="1506">
        <f>D14/J14</f>
        <v>1</v>
      </c>
    </row>
    <row r="15" spans="1:30" ht="20.25" hidden="1">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06"/>
      <c r="Q15" s="1134">
        <f t="shared" si="6"/>
        <v>111</v>
      </c>
      <c r="R15" s="1503" t="s">
        <v>8</v>
      </c>
      <c r="S15" s="1504">
        <f t="shared" si="0"/>
        <v>100</v>
      </c>
      <c r="T15" s="1503" t="s">
        <v>8</v>
      </c>
      <c r="U15" s="1504">
        <f t="shared" si="1"/>
        <v>100</v>
      </c>
      <c r="V15" s="1503" t="s">
        <v>8</v>
      </c>
      <c r="W15" s="1504">
        <f t="shared" si="2"/>
        <v>100</v>
      </c>
      <c r="X15" s="1505"/>
      <c r="Y15" s="3452"/>
      <c r="Z15" s="1133">
        <f t="shared" si="7"/>
        <v>111</v>
      </c>
      <c r="AA15" s="1506">
        <f>D15/F15</f>
        <v>1</v>
      </c>
      <c r="AB15" s="1506">
        <f>D15/H15</f>
        <v>1</v>
      </c>
      <c r="AC15" s="1506">
        <f>D15/J15</f>
        <v>1</v>
      </c>
    </row>
    <row r="16" spans="1:30" ht="21" hidden="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06"/>
      <c r="Q16" s="1134">
        <f t="shared" si="6"/>
        <v>111</v>
      </c>
      <c r="R16" s="1503" t="s">
        <v>8</v>
      </c>
      <c r="S16" s="1504">
        <f t="shared" si="0"/>
        <v>100</v>
      </c>
      <c r="T16" s="1503" t="s">
        <v>8</v>
      </c>
      <c r="U16" s="1504">
        <f t="shared" si="1"/>
        <v>100</v>
      </c>
      <c r="V16" s="1503" t="s">
        <v>8</v>
      </c>
      <c r="W16" s="1504">
        <f t="shared" si="2"/>
        <v>100</v>
      </c>
      <c r="X16" s="1505"/>
      <c r="Y16" s="3452"/>
      <c r="Z16" s="1133">
        <f t="shared" si="7"/>
        <v>111</v>
      </c>
      <c r="AA16" s="1506">
        <f>D16/F16</f>
        <v>1</v>
      </c>
      <c r="AB16" s="1506">
        <f>D16/H16</f>
        <v>1</v>
      </c>
      <c r="AC16" s="1506">
        <f>D16/J16</f>
        <v>1</v>
      </c>
    </row>
    <row r="17" spans="1:29" ht="20.25">
      <c r="A17" s="2627" t="s">
        <v>2730</v>
      </c>
      <c r="B17" s="572" t="s">
        <v>295</v>
      </c>
      <c r="C17" s="542" t="str">
        <f>估价对象房地状况!C15</f>
        <v>一般</v>
      </c>
      <c r="D17" s="545">
        <v>100</v>
      </c>
      <c r="E17" s="546"/>
      <c r="F17" s="543">
        <f>SUMIF(90:90,E18,91:91)-SUMIF(90:90,C18,91:91)+100</f>
        <v>100</v>
      </c>
      <c r="G17" s="544"/>
      <c r="H17" s="543">
        <f>SUMIF(90:90,G18,91:91)-SUMIF(90:90,C18,91:91)+100</f>
        <v>100</v>
      </c>
      <c r="I17" s="546"/>
      <c r="J17" s="543">
        <f>SUMIF(90:90,I18,91:91)-SUMIF(90:90,C18,91:91)+100</f>
        <v>100</v>
      </c>
      <c r="K17" s="529">
        <v>3</v>
      </c>
      <c r="L17" s="2024"/>
      <c r="M17" s="2014"/>
      <c r="N17" s="2014"/>
      <c r="O17" s="2023"/>
      <c r="P17" s="3542" t="s">
        <v>534</v>
      </c>
      <c r="Q17" s="1507" t="str">
        <f t="shared" si="6"/>
        <v>居住社区成熟度</v>
      </c>
      <c r="R17" s="1508" t="s">
        <v>8</v>
      </c>
      <c r="S17" s="1509">
        <f t="shared" si="0"/>
        <v>100</v>
      </c>
      <c r="T17" s="1508" t="s">
        <v>8</v>
      </c>
      <c r="U17" s="1509">
        <f t="shared" si="1"/>
        <v>100</v>
      </c>
      <c r="V17" s="1508" t="s">
        <v>8</v>
      </c>
      <c r="W17" s="1509">
        <f t="shared" si="2"/>
        <v>100</v>
      </c>
      <c r="X17" s="1502"/>
      <c r="Y17" s="3542" t="s">
        <v>534</v>
      </c>
      <c r="Z17" s="1510" t="str">
        <f t="shared" si="7"/>
        <v>居住社区成熟度</v>
      </c>
      <c r="AA17" s="1511">
        <f t="shared" si="3"/>
        <v>1</v>
      </c>
      <c r="AB17" s="1511">
        <f t="shared" si="4"/>
        <v>1</v>
      </c>
      <c r="AC17" s="1511">
        <f t="shared" si="5"/>
        <v>1</v>
      </c>
    </row>
    <row r="18" spans="1:29" ht="20.25">
      <c r="A18" s="526"/>
      <c r="B18" s="547"/>
      <c r="C18" s="548" t="s">
        <v>3169</v>
      </c>
      <c r="D18" s="551"/>
      <c r="E18" s="552" t="s">
        <v>3169</v>
      </c>
      <c r="F18" s="549"/>
      <c r="G18" s="550" t="s">
        <v>3169</v>
      </c>
      <c r="H18" s="553"/>
      <c r="I18" s="552" t="s">
        <v>3169</v>
      </c>
      <c r="J18" s="549"/>
      <c r="K18" s="525"/>
      <c r="L18" s="2024"/>
      <c r="M18" s="2014"/>
      <c r="N18" s="2014"/>
      <c r="O18" s="2023"/>
      <c r="P18" s="3543"/>
      <c r="Q18" s="1507"/>
      <c r="R18" s="1508"/>
      <c r="S18" s="1509"/>
      <c r="T18" s="1508"/>
      <c r="U18" s="1509"/>
      <c r="V18" s="1508"/>
      <c r="W18" s="1509"/>
      <c r="X18" s="1502"/>
      <c r="Y18" s="3543"/>
      <c r="Z18" s="1510"/>
      <c r="AA18" s="1511">
        <v>1</v>
      </c>
      <c r="AB18" s="1511">
        <v>1</v>
      </c>
      <c r="AC18" s="1511">
        <v>1</v>
      </c>
    </row>
    <row r="19" spans="1:29" ht="20.25" hidden="1">
      <c r="A19" s="526"/>
      <c r="B19" s="554" t="s">
        <v>535</v>
      </c>
      <c r="C19" s="555">
        <f>估价对象房地状况!C16</f>
        <v>0</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3"/>
      <c r="Q19" s="1507" t="str">
        <f>B19</f>
        <v>商业繁华度</v>
      </c>
      <c r="R19" s="1508" t="s">
        <v>8</v>
      </c>
      <c r="S19" s="1509">
        <f>F19</f>
        <v>100</v>
      </c>
      <c r="T19" s="1508" t="s">
        <v>8</v>
      </c>
      <c r="U19" s="1509">
        <f>H19</f>
        <v>100</v>
      </c>
      <c r="V19" s="1508" t="s">
        <v>8</v>
      </c>
      <c r="W19" s="1509">
        <f>J19</f>
        <v>100</v>
      </c>
      <c r="X19" s="1502"/>
      <c r="Y19" s="3543"/>
      <c r="Z19" s="1510" t="str">
        <f>Q19</f>
        <v>商业繁华度</v>
      </c>
      <c r="AA19" s="1511">
        <f t="shared" si="3"/>
        <v>1</v>
      </c>
      <c r="AB19" s="1511">
        <f t="shared" si="4"/>
        <v>1</v>
      </c>
      <c r="AC19" s="1511">
        <f t="shared" si="5"/>
        <v>1</v>
      </c>
    </row>
    <row r="20" spans="1:29" ht="20.25" hidden="1">
      <c r="A20" s="526"/>
      <c r="B20" s="560"/>
      <c r="C20" s="561"/>
      <c r="D20" s="557"/>
      <c r="E20" s="563"/>
      <c r="F20" s="553"/>
      <c r="G20" s="562"/>
      <c r="H20" s="549"/>
      <c r="I20" s="563"/>
      <c r="J20" s="549"/>
      <c r="K20" s="525"/>
      <c r="L20" s="2024"/>
      <c r="M20" s="2014"/>
      <c r="N20" s="2014"/>
      <c r="O20" s="2023"/>
      <c r="P20" s="3543"/>
      <c r="Q20" s="1507"/>
      <c r="R20" s="1508"/>
      <c r="S20" s="1509"/>
      <c r="T20" s="1508"/>
      <c r="U20" s="1509"/>
      <c r="V20" s="1508"/>
      <c r="W20" s="1509"/>
      <c r="X20" s="1502"/>
      <c r="Y20" s="3543"/>
      <c r="Z20" s="1510"/>
      <c r="AA20" s="1511">
        <v>1</v>
      </c>
      <c r="AB20" s="1511">
        <v>1</v>
      </c>
      <c r="AC20" s="1511">
        <v>1</v>
      </c>
    </row>
    <row r="21" spans="1:29" ht="20.25" hidden="1">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3"/>
      <c r="Q21" s="1507" t="str">
        <f>B21</f>
        <v>办公集聚程度</v>
      </c>
      <c r="R21" s="1508" t="s">
        <v>8</v>
      </c>
      <c r="S21" s="1509">
        <f>F21</f>
        <v>100</v>
      </c>
      <c r="T21" s="1508" t="s">
        <v>8</v>
      </c>
      <c r="U21" s="1509">
        <f>H21</f>
        <v>100</v>
      </c>
      <c r="V21" s="1508" t="s">
        <v>8</v>
      </c>
      <c r="W21" s="1509">
        <f>J21</f>
        <v>100</v>
      </c>
      <c r="X21" s="1502"/>
      <c r="Y21" s="3543"/>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4"/>
      <c r="M22" s="2014"/>
      <c r="N22" s="2014"/>
      <c r="O22" s="2023"/>
      <c r="P22" s="3543"/>
      <c r="Q22" s="1507"/>
      <c r="R22" s="1508"/>
      <c r="S22" s="1509"/>
      <c r="T22" s="1508"/>
      <c r="U22" s="1509"/>
      <c r="V22" s="1508"/>
      <c r="W22" s="1509"/>
      <c r="X22" s="1502"/>
      <c r="Y22" s="3543"/>
      <c r="Z22" s="1510"/>
      <c r="AA22" s="1511">
        <v>1</v>
      </c>
      <c r="AB22" s="1511">
        <v>1</v>
      </c>
      <c r="AC22" s="1511">
        <v>1</v>
      </c>
    </row>
    <row r="23" spans="1:29" ht="20.25">
      <c r="A23" s="526"/>
      <c r="B23" s="554" t="s">
        <v>537</v>
      </c>
      <c r="C23" s="567" t="str">
        <f>估价对象房地状况!C18</f>
        <v>较好</v>
      </c>
      <c r="D23" s="557">
        <v>100</v>
      </c>
      <c r="E23" s="558"/>
      <c r="F23" s="559">
        <f>SUMIF(96:96,E24,97:97)-SUMIF(96:96,C24,97:97)+100</f>
        <v>98</v>
      </c>
      <c r="G23" s="556"/>
      <c r="H23" s="553">
        <f>SUMIF(96:96,G24,97:97)-SUMIF(96:96,C24,97:97)+100</f>
        <v>98</v>
      </c>
      <c r="I23" s="558"/>
      <c r="J23" s="553">
        <f>SUMIF(96:96,I24,97:97)-SUMIF(96:96,C24,97:97)+100</f>
        <v>98</v>
      </c>
      <c r="K23" s="529">
        <v>2</v>
      </c>
      <c r="L23" s="2024"/>
      <c r="M23" s="2014"/>
      <c r="N23" s="2014"/>
      <c r="O23" s="2023"/>
      <c r="P23" s="3543"/>
      <c r="Q23" s="1507" t="str">
        <f>B23</f>
        <v>交通便捷度</v>
      </c>
      <c r="R23" s="1508" t="s">
        <v>8</v>
      </c>
      <c r="S23" s="1509">
        <f>F23</f>
        <v>98</v>
      </c>
      <c r="T23" s="1508" t="s">
        <v>8</v>
      </c>
      <c r="U23" s="1509">
        <f>H23</f>
        <v>98</v>
      </c>
      <c r="V23" s="1508" t="s">
        <v>8</v>
      </c>
      <c r="W23" s="1509">
        <f>J23</f>
        <v>98</v>
      </c>
      <c r="X23" s="1502"/>
      <c r="Y23" s="3543"/>
      <c r="Z23" s="1510" t="str">
        <f>Q23</f>
        <v>交通便捷度</v>
      </c>
      <c r="AA23" s="1511">
        <f t="shared" si="3"/>
        <v>1.0204081632653061</v>
      </c>
      <c r="AB23" s="1511">
        <f t="shared" si="4"/>
        <v>1.0204081632653061</v>
      </c>
      <c r="AC23" s="1511">
        <f t="shared" si="5"/>
        <v>1.0204081632653061</v>
      </c>
    </row>
    <row r="24" spans="1:29" ht="20.25">
      <c r="A24" s="526"/>
      <c r="B24" s="572"/>
      <c r="C24" s="548" t="s">
        <v>3149</v>
      </c>
      <c r="D24" s="551"/>
      <c r="E24" s="552" t="s">
        <v>3169</v>
      </c>
      <c r="F24" s="549"/>
      <c r="G24" s="550" t="s">
        <v>3169</v>
      </c>
      <c r="H24" s="549"/>
      <c r="I24" s="552" t="s">
        <v>3169</v>
      </c>
      <c r="J24" s="549"/>
      <c r="K24" s="525"/>
      <c r="L24" s="2024"/>
      <c r="M24" s="2014"/>
      <c r="N24" s="2014"/>
      <c r="O24" s="2023"/>
      <c r="P24" s="3543"/>
      <c r="Q24" s="1507"/>
      <c r="R24" s="1508"/>
      <c r="S24" s="1509"/>
      <c r="T24" s="1508"/>
      <c r="U24" s="1509"/>
      <c r="V24" s="1508"/>
      <c r="W24" s="1509"/>
      <c r="X24" s="1502"/>
      <c r="Y24" s="3543"/>
      <c r="Z24" s="1510"/>
      <c r="AA24" s="1511">
        <v>1</v>
      </c>
      <c r="AB24" s="1511">
        <v>1</v>
      </c>
      <c r="AC24" s="1511">
        <v>1</v>
      </c>
    </row>
    <row r="25" spans="1:29" ht="27">
      <c r="A25" s="509"/>
      <c r="B25" s="257" t="s">
        <v>538</v>
      </c>
      <c r="C25" s="567" t="str">
        <f>估价对象房地状况!C19</f>
        <v>较好</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543"/>
      <c r="Q25" s="1507" t="str">
        <f t="shared" ref="Q25:Q39" si="8">B25</f>
        <v>区域土地利用方向</v>
      </c>
      <c r="R25" s="1508" t="s">
        <v>8</v>
      </c>
      <c r="S25" s="1509">
        <f>F25</f>
        <v>100</v>
      </c>
      <c r="T25" s="1508" t="s">
        <v>8</v>
      </c>
      <c r="U25" s="1509">
        <f>H25</f>
        <v>100</v>
      </c>
      <c r="V25" s="1508" t="s">
        <v>8</v>
      </c>
      <c r="W25" s="1509">
        <f>J25</f>
        <v>100</v>
      </c>
      <c r="X25" s="1502"/>
      <c r="Y25" s="3543"/>
      <c r="Z25" s="1510" t="str">
        <f>Q25</f>
        <v>区域土地利用方向</v>
      </c>
      <c r="AA25" s="1511">
        <f t="shared" si="3"/>
        <v>1</v>
      </c>
      <c r="AB25" s="1511">
        <f t="shared" si="4"/>
        <v>1</v>
      </c>
      <c r="AC25" s="1511">
        <f t="shared" si="5"/>
        <v>1</v>
      </c>
    </row>
    <row r="26" spans="1:29" ht="20.25">
      <c r="A26" s="509"/>
      <c r="B26" s="994"/>
      <c r="C26" s="548" t="s">
        <v>3149</v>
      </c>
      <c r="D26" s="551"/>
      <c r="E26" s="552" t="s">
        <v>3149</v>
      </c>
      <c r="F26" s="549"/>
      <c r="G26" s="550" t="s">
        <v>3149</v>
      </c>
      <c r="H26" s="549"/>
      <c r="I26" s="552" t="s">
        <v>3149</v>
      </c>
      <c r="J26" s="549"/>
      <c r="K26" s="525"/>
      <c r="L26" s="2024"/>
      <c r="M26" s="2014"/>
      <c r="N26" s="2014"/>
      <c r="O26" s="2023"/>
      <c r="P26" s="3543"/>
      <c r="Q26" s="1507"/>
      <c r="R26" s="1508"/>
      <c r="S26" s="1509"/>
      <c r="T26" s="1508"/>
      <c r="U26" s="1509"/>
      <c r="V26" s="1508"/>
      <c r="W26" s="1509"/>
      <c r="X26" s="1502"/>
      <c r="Y26" s="3543"/>
      <c r="Z26" s="1510"/>
      <c r="AA26" s="1511"/>
      <c r="AB26" s="1511"/>
      <c r="AC26" s="1511"/>
    </row>
    <row r="27" spans="1:29" ht="27">
      <c r="A27" s="509"/>
      <c r="B27" s="572" t="s">
        <v>539</v>
      </c>
      <c r="C27" s="555" t="str">
        <f>估价对象房地状况!C20</f>
        <v>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4"/>
      <c r="M27" s="2014"/>
      <c r="N27" s="2014"/>
      <c r="O27" s="2023"/>
      <c r="P27" s="3543"/>
      <c r="Q27" s="1507" t="str">
        <f t="shared" si="8"/>
        <v>自然及人文环境状况</v>
      </c>
      <c r="R27" s="1508" t="s">
        <v>8</v>
      </c>
      <c r="S27" s="1509">
        <f>F27</f>
        <v>100</v>
      </c>
      <c r="T27" s="1508" t="s">
        <v>8</v>
      </c>
      <c r="U27" s="1509">
        <f>H27</f>
        <v>100</v>
      </c>
      <c r="V27" s="1508" t="s">
        <v>8</v>
      </c>
      <c r="W27" s="1509">
        <f>J27</f>
        <v>100</v>
      </c>
      <c r="X27" s="1502"/>
      <c r="Y27" s="3543"/>
      <c r="Z27" s="1510" t="str">
        <f>Q27</f>
        <v>自然及人文环境状况</v>
      </c>
      <c r="AA27" s="1511">
        <f t="shared" si="3"/>
        <v>1</v>
      </c>
      <c r="AB27" s="1511">
        <f t="shared" si="4"/>
        <v>1</v>
      </c>
      <c r="AC27" s="1511">
        <f t="shared" si="5"/>
        <v>1</v>
      </c>
    </row>
    <row r="28" spans="1:29" ht="20.25">
      <c r="A28" s="509"/>
      <c r="B28" s="560"/>
      <c r="C28" s="548" t="s">
        <v>3169</v>
      </c>
      <c r="D28" s="551"/>
      <c r="E28" s="570" t="s">
        <v>3169</v>
      </c>
      <c r="F28" s="549"/>
      <c r="G28" s="548" t="s">
        <v>3169</v>
      </c>
      <c r="H28" s="549"/>
      <c r="I28" s="570" t="s">
        <v>3169</v>
      </c>
      <c r="J28" s="549"/>
      <c r="K28" s="525"/>
      <c r="L28" s="2024"/>
      <c r="M28" s="2014"/>
      <c r="N28" s="2014"/>
      <c r="O28" s="2023"/>
      <c r="P28" s="3543"/>
      <c r="Q28" s="1507"/>
      <c r="R28" s="1508"/>
      <c r="S28" s="1509"/>
      <c r="T28" s="1508"/>
      <c r="U28" s="1509"/>
      <c r="V28" s="1508"/>
      <c r="W28" s="1509"/>
      <c r="X28" s="1502"/>
      <c r="Y28" s="3543"/>
      <c r="Z28" s="1510"/>
      <c r="AA28" s="1511">
        <v>1</v>
      </c>
      <c r="AB28" s="1511">
        <v>1</v>
      </c>
      <c r="AC28" s="1511">
        <v>1</v>
      </c>
    </row>
    <row r="29" spans="1:29" s="1203" customFormat="1" ht="20.25">
      <c r="A29" s="571"/>
      <c r="B29" s="2435" t="s">
        <v>2525</v>
      </c>
      <c r="C29" s="567" t="str">
        <f>估价对象房地状况!C21</f>
        <v>一般</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7"/>
      <c r="M29" s="2014"/>
      <c r="N29" s="2014"/>
      <c r="O29" s="2019"/>
      <c r="P29" s="3543"/>
      <c r="Q29" s="1134" t="str">
        <f t="shared" si="8"/>
        <v>公共配套设施</v>
      </c>
      <c r="R29" s="1503" t="s">
        <v>8</v>
      </c>
      <c r="S29" s="1504">
        <f>F29</f>
        <v>100</v>
      </c>
      <c r="T29" s="1503" t="s">
        <v>8</v>
      </c>
      <c r="U29" s="1504">
        <f>H29</f>
        <v>100</v>
      </c>
      <c r="V29" s="1503" t="s">
        <v>8</v>
      </c>
      <c r="W29" s="1504">
        <f>J29</f>
        <v>100</v>
      </c>
      <c r="X29" s="1505"/>
      <c r="Y29" s="3543"/>
      <c r="Z29" s="1133" t="str">
        <f>Q29</f>
        <v>公共配套设施</v>
      </c>
      <c r="AA29" s="1511">
        <f>D29/F29</f>
        <v>1</v>
      </c>
      <c r="AB29" s="1511">
        <f>D29/H29</f>
        <v>1</v>
      </c>
      <c r="AC29" s="1511">
        <f>D29/J29</f>
        <v>1</v>
      </c>
    </row>
    <row r="30" spans="1:29" s="1203" customFormat="1" ht="20.25">
      <c r="A30" s="571"/>
      <c r="B30" s="560"/>
      <c r="C30" s="573" t="s">
        <v>3169</v>
      </c>
      <c r="D30" s="551"/>
      <c r="E30" s="570" t="s">
        <v>3169</v>
      </c>
      <c r="F30" s="549"/>
      <c r="G30" s="548" t="s">
        <v>3169</v>
      </c>
      <c r="H30" s="549"/>
      <c r="I30" s="570" t="s">
        <v>3169</v>
      </c>
      <c r="J30" s="549"/>
      <c r="K30" s="525"/>
      <c r="L30" s="2017"/>
      <c r="M30" s="2014"/>
      <c r="N30" s="2014"/>
      <c r="O30" s="2019"/>
      <c r="P30" s="3543"/>
      <c r="Q30" s="1134"/>
      <c r="R30" s="1503"/>
      <c r="S30" s="1504"/>
      <c r="T30" s="1503"/>
      <c r="U30" s="1504"/>
      <c r="V30" s="1503"/>
      <c r="W30" s="1504"/>
      <c r="X30" s="1505"/>
      <c r="Y30" s="3543"/>
      <c r="Z30" s="1133"/>
      <c r="AA30" s="1511">
        <v>1</v>
      </c>
      <c r="AB30" s="1511">
        <v>1</v>
      </c>
      <c r="AC30" s="1511">
        <v>1</v>
      </c>
    </row>
    <row r="31" spans="1:29" s="1203" customFormat="1" ht="20.25">
      <c r="A31" s="571"/>
      <c r="B31" s="2435" t="s">
        <v>2526</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7"/>
      <c r="M31" s="2014"/>
      <c r="N31" s="2014"/>
      <c r="O31" s="2019"/>
      <c r="P31" s="3543"/>
      <c r="Q31" s="2428" t="str">
        <f t="shared" ref="Q31" si="9">B31</f>
        <v>基础设施水平</v>
      </c>
      <c r="R31" s="1503" t="s">
        <v>8</v>
      </c>
      <c r="S31" s="1504">
        <f>F31</f>
        <v>100</v>
      </c>
      <c r="T31" s="1503" t="s">
        <v>8</v>
      </c>
      <c r="U31" s="1504">
        <f>H31</f>
        <v>100</v>
      </c>
      <c r="V31" s="1503" t="s">
        <v>8</v>
      </c>
      <c r="W31" s="1504">
        <f>J31</f>
        <v>100</v>
      </c>
      <c r="X31" s="1505"/>
      <c r="Y31" s="3543"/>
      <c r="Z31" s="2427" t="str">
        <f>Q31</f>
        <v>基础设施水平</v>
      </c>
      <c r="AA31" s="1511">
        <f>D31/F31</f>
        <v>1</v>
      </c>
      <c r="AB31" s="1511">
        <f>D31/H31</f>
        <v>1</v>
      </c>
      <c r="AC31" s="1511">
        <f>D31/J31</f>
        <v>1</v>
      </c>
    </row>
    <row r="32" spans="1:29" s="1203" customFormat="1" ht="20.25">
      <c r="A32" s="571"/>
      <c r="B32" s="560"/>
      <c r="C32" s="573" t="s">
        <v>3144</v>
      </c>
      <c r="D32" s="551"/>
      <c r="E32" s="2436" t="s">
        <v>3144</v>
      </c>
      <c r="F32" s="549"/>
      <c r="G32" s="573" t="s">
        <v>3144</v>
      </c>
      <c r="H32" s="549"/>
      <c r="I32" s="573" t="s">
        <v>3144</v>
      </c>
      <c r="J32" s="549"/>
      <c r="K32" s="525"/>
      <c r="L32" s="2017"/>
      <c r="M32" s="2014"/>
      <c r="N32" s="2014"/>
      <c r="O32" s="2019"/>
      <c r="P32" s="3543"/>
      <c r="Q32" s="2428"/>
      <c r="R32" s="1503"/>
      <c r="S32" s="1504"/>
      <c r="T32" s="1503"/>
      <c r="U32" s="1504"/>
      <c r="V32" s="1503"/>
      <c r="W32" s="1504"/>
      <c r="X32" s="1505"/>
      <c r="Y32" s="3543"/>
      <c r="Z32" s="2427"/>
      <c r="AA32" s="1511">
        <v>1</v>
      </c>
      <c r="AB32" s="1511">
        <v>1</v>
      </c>
      <c r="AC32" s="1511">
        <v>1</v>
      </c>
    </row>
    <row r="33" spans="1:29" ht="20.25" hidden="1">
      <c r="A33" s="526"/>
      <c r="B33" s="560" t="s">
        <v>541</v>
      </c>
      <c r="C33" s="574" t="s">
        <v>3148</v>
      </c>
      <c r="D33" s="569">
        <v>100</v>
      </c>
      <c r="E33" s="577" t="s">
        <v>3148</v>
      </c>
      <c r="F33" s="534">
        <f>SUMIF(106:106,E33,107:107)-SUMIF(106:106,C33,107:107)+100</f>
        <v>100</v>
      </c>
      <c r="G33" s="574" t="s">
        <v>3148</v>
      </c>
      <c r="H33" s="534">
        <f>SUMIF(106:106,G33,107:107)-SUMIF(106:106,C33,107:107)+100</f>
        <v>100</v>
      </c>
      <c r="I33" s="574" t="s">
        <v>3148</v>
      </c>
      <c r="J33" s="534">
        <f>SUMIF(106:106,I33,107:107)-SUMIF(106:106,C33,107:107)+100</f>
        <v>100</v>
      </c>
      <c r="K33" s="529">
        <v>2</v>
      </c>
      <c r="L33" s="2024"/>
      <c r="M33" s="2014"/>
      <c r="N33" s="2014"/>
      <c r="O33" s="2023"/>
      <c r="P33" s="3543"/>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43"/>
      <c r="Z33" s="1510" t="str">
        <f t="shared" ref="Z33:Z47" si="13">Q33</f>
        <v>临街状况</v>
      </c>
      <c r="AA33" s="1511">
        <f t="shared" si="3"/>
        <v>1</v>
      </c>
      <c r="AB33" s="1511">
        <f t="shared" si="4"/>
        <v>1</v>
      </c>
      <c r="AC33" s="1511">
        <f t="shared" si="5"/>
        <v>1</v>
      </c>
    </row>
    <row r="34" spans="1:29" ht="27">
      <c r="A34" s="526"/>
      <c r="B34" s="572" t="s">
        <v>542</v>
      </c>
      <c r="C34" s="3303" t="s">
        <v>3171</v>
      </c>
      <c r="D34" s="557">
        <v>100</v>
      </c>
      <c r="E34" s="558"/>
      <c r="F34" s="553">
        <f>SUMIF(108:108,E35,109:109)-SUMIF(108:108,C35,109:109)+100</f>
        <v>100</v>
      </c>
      <c r="G34" s="556"/>
      <c r="H34" s="553">
        <f>SUMIF(108:108,G35,109:109)-SUMIF(108:108,C35,109:109)+100</f>
        <v>99</v>
      </c>
      <c r="I34" s="558"/>
      <c r="J34" s="553">
        <f>SUMIF(108:108,I35,109:109)-SUMIF(108:108,C35,109:109)+100</f>
        <v>99</v>
      </c>
      <c r="K34" s="529">
        <v>1</v>
      </c>
      <c r="L34" s="2024"/>
      <c r="M34" s="2014"/>
      <c r="N34" s="2014"/>
      <c r="O34" s="2023"/>
      <c r="P34" s="3543"/>
      <c r="Q34" s="1507" t="str">
        <f t="shared" si="8"/>
        <v>毗邻道路的类型与等级</v>
      </c>
      <c r="R34" s="1508" t="s">
        <v>8</v>
      </c>
      <c r="S34" s="1509">
        <f t="shared" si="10"/>
        <v>100</v>
      </c>
      <c r="T34" s="1508" t="s">
        <v>8</v>
      </c>
      <c r="U34" s="1509">
        <f t="shared" si="11"/>
        <v>99</v>
      </c>
      <c r="V34" s="1508" t="s">
        <v>8</v>
      </c>
      <c r="W34" s="1509">
        <f t="shared" si="12"/>
        <v>99</v>
      </c>
      <c r="X34" s="1502"/>
      <c r="Y34" s="3543"/>
      <c r="Z34" s="1510" t="str">
        <f t="shared" si="13"/>
        <v>毗邻道路的类型与等级</v>
      </c>
      <c r="AA34" s="1511">
        <f t="shared" si="3"/>
        <v>1</v>
      </c>
      <c r="AB34" s="1511">
        <f t="shared" si="4"/>
        <v>1.0101010101010102</v>
      </c>
      <c r="AC34" s="1511">
        <f t="shared" si="5"/>
        <v>1.0101010101010102</v>
      </c>
    </row>
    <row r="35" spans="1:29" ht="21" thickBot="1">
      <c r="A35" s="526"/>
      <c r="B35" s="560"/>
      <c r="C35" s="548" t="s">
        <v>3146</v>
      </c>
      <c r="D35" s="551"/>
      <c r="E35" s="570" t="s">
        <v>3146</v>
      </c>
      <c r="F35" s="549"/>
      <c r="G35" s="548" t="s">
        <v>3353</v>
      </c>
      <c r="H35" s="549"/>
      <c r="I35" s="570" t="s">
        <v>3353</v>
      </c>
      <c r="J35" s="549"/>
      <c r="K35" s="575"/>
      <c r="L35" s="2024"/>
      <c r="M35" s="2014"/>
      <c r="N35" s="2014"/>
      <c r="O35" s="2023"/>
      <c r="P35" s="3543"/>
      <c r="Q35" s="1507"/>
      <c r="R35" s="1508"/>
      <c r="S35" s="1509"/>
      <c r="T35" s="1508"/>
      <c r="U35" s="1509"/>
      <c r="V35" s="1508"/>
      <c r="W35" s="1509"/>
      <c r="X35" s="1502"/>
      <c r="Y35" s="3543"/>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3"/>
      <c r="Q36" s="1507" t="str">
        <f t="shared" si="8"/>
        <v>土地级别</v>
      </c>
      <c r="R36" s="1508" t="s">
        <v>8</v>
      </c>
      <c r="S36" s="1509">
        <f t="shared" si="10"/>
        <v>100</v>
      </c>
      <c r="T36" s="1508" t="s">
        <v>8</v>
      </c>
      <c r="U36" s="1509">
        <f t="shared" si="11"/>
        <v>100</v>
      </c>
      <c r="V36" s="1508" t="s">
        <v>8</v>
      </c>
      <c r="W36" s="1509">
        <f t="shared" si="12"/>
        <v>100</v>
      </c>
      <c r="X36" s="1502"/>
      <c r="Y36" s="3543"/>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3"/>
      <c r="Q37" s="1507">
        <f t="shared" si="8"/>
        <v>111</v>
      </c>
      <c r="R37" s="1508" t="s">
        <v>8</v>
      </c>
      <c r="S37" s="1509">
        <f t="shared" si="10"/>
        <v>100</v>
      </c>
      <c r="T37" s="1508" t="s">
        <v>8</v>
      </c>
      <c r="U37" s="1509">
        <f t="shared" si="11"/>
        <v>100</v>
      </c>
      <c r="V37" s="1508" t="s">
        <v>8</v>
      </c>
      <c r="W37" s="1509">
        <f t="shared" si="12"/>
        <v>100</v>
      </c>
      <c r="X37" s="1502"/>
      <c r="Y37" s="3543"/>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4" t="s">
        <v>544</v>
      </c>
      <c r="Q38" s="1507">
        <f t="shared" si="8"/>
        <v>111</v>
      </c>
      <c r="R38" s="1508" t="s">
        <v>8</v>
      </c>
      <c r="S38" s="1509">
        <f t="shared" si="10"/>
        <v>100</v>
      </c>
      <c r="T38" s="1508" t="s">
        <v>8</v>
      </c>
      <c r="U38" s="1509">
        <f t="shared" si="11"/>
        <v>100</v>
      </c>
      <c r="V38" s="1508" t="s">
        <v>8</v>
      </c>
      <c r="W38" s="1509">
        <f t="shared" si="12"/>
        <v>100</v>
      </c>
      <c r="X38" s="1502"/>
      <c r="Y38" s="3545"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5"/>
      <c r="Q39" s="1507">
        <f t="shared" si="8"/>
        <v>111</v>
      </c>
      <c r="R39" s="1512" t="s">
        <v>8</v>
      </c>
      <c r="S39" s="1513">
        <f t="shared" si="10"/>
        <v>100</v>
      </c>
      <c r="T39" s="1512" t="s">
        <v>8</v>
      </c>
      <c r="U39" s="1513">
        <f t="shared" si="11"/>
        <v>100</v>
      </c>
      <c r="V39" s="1512" t="s">
        <v>8</v>
      </c>
      <c r="W39" s="1513">
        <f t="shared" si="12"/>
        <v>100</v>
      </c>
      <c r="X39" s="1514"/>
      <c r="Y39" s="3545"/>
      <c r="Z39" s="1515">
        <f t="shared" si="13"/>
        <v>111</v>
      </c>
      <c r="AA39" s="1511">
        <f t="shared" si="3"/>
        <v>1</v>
      </c>
      <c r="AB39" s="1511">
        <f t="shared" si="4"/>
        <v>1</v>
      </c>
      <c r="AC39" s="1511">
        <f t="shared" si="5"/>
        <v>1</v>
      </c>
    </row>
    <row r="40" spans="1:29" ht="20.25">
      <c r="A40" s="2624" t="s">
        <v>2731</v>
      </c>
      <c r="B40" s="589" t="s">
        <v>546</v>
      </c>
      <c r="C40" s="590">
        <f>'数据-基础表'!A3</f>
        <v>12606.51</v>
      </c>
      <c r="D40" s="591">
        <v>100</v>
      </c>
      <c r="E40" s="590">
        <f>土地案例!D12</f>
        <v>32295</v>
      </c>
      <c r="F40" s="591">
        <f>LOOKUP(E40,119:119,120:120)-LOOKUP(C40,119:119,120:120)+100</f>
        <v>102</v>
      </c>
      <c r="G40" s="590">
        <f>土地案例!D37</f>
        <v>7640.88</v>
      </c>
      <c r="H40" s="591">
        <f>LOOKUP(G40,119:119,120:120)-LOOKUP(C40,119:119,120:120)+100</f>
        <v>100</v>
      </c>
      <c r="I40" s="592">
        <f>土地案例!D43</f>
        <v>28631</v>
      </c>
      <c r="J40" s="591">
        <f>LOOKUP(I40,119:119,120:120)-LOOKUP(C40,119:119,120:120)+100</f>
        <v>102</v>
      </c>
      <c r="K40" s="575"/>
      <c r="L40" s="2024"/>
      <c r="M40" s="2014"/>
      <c r="N40" s="2014"/>
      <c r="O40" s="2023"/>
      <c r="P40" s="3545"/>
      <c r="Q40" s="1507" t="str">
        <f>B40</f>
        <v>宗地面积</v>
      </c>
      <c r="R40" s="1508" t="s">
        <v>8</v>
      </c>
      <c r="S40" s="1509">
        <f t="shared" si="10"/>
        <v>102</v>
      </c>
      <c r="T40" s="1508" t="s">
        <v>8</v>
      </c>
      <c r="U40" s="1509">
        <f t="shared" si="11"/>
        <v>100</v>
      </c>
      <c r="V40" s="1508" t="s">
        <v>8</v>
      </c>
      <c r="W40" s="1509">
        <f t="shared" si="12"/>
        <v>102</v>
      </c>
      <c r="X40" s="1502"/>
      <c r="Y40" s="3545"/>
      <c r="Z40" s="1510" t="str">
        <f t="shared" si="13"/>
        <v>宗地面积</v>
      </c>
      <c r="AA40" s="1511">
        <f t="shared" si="3"/>
        <v>0.98039215686274506</v>
      </c>
      <c r="AB40" s="1511">
        <f t="shared" si="4"/>
        <v>1</v>
      </c>
      <c r="AC40" s="1511">
        <f t="shared" si="5"/>
        <v>0.98039215686274506</v>
      </c>
    </row>
    <row r="41" spans="1:29" ht="20.25">
      <c r="A41" s="588"/>
      <c r="B41" s="521" t="s">
        <v>547</v>
      </c>
      <c r="C41" s="593" t="s">
        <v>3160</v>
      </c>
      <c r="D41" s="534">
        <v>100</v>
      </c>
      <c r="E41" s="593" t="s">
        <v>3160</v>
      </c>
      <c r="F41" s="534">
        <f>SUMIF(121:121,E41,122:122)-SUMIF(121:121,C41,122:122)+100</f>
        <v>100</v>
      </c>
      <c r="G41" s="593" t="s">
        <v>3160</v>
      </c>
      <c r="H41" s="534">
        <f>SUMIF(121:121,G41,122:122)-SUMIF(121:121,C41,122:122)+100</f>
        <v>100</v>
      </c>
      <c r="I41" s="593" t="s">
        <v>3160</v>
      </c>
      <c r="J41" s="534">
        <f>SUMIF(121:121,I41,122:122)-SUMIF(121:121,C41,122:122)+100</f>
        <v>100</v>
      </c>
      <c r="K41" s="578">
        <v>1</v>
      </c>
      <c r="L41" s="2024"/>
      <c r="M41" s="2014"/>
      <c r="N41" s="2014"/>
      <c r="O41" s="2023"/>
      <c r="P41" s="3545"/>
      <c r="Q41" s="1507" t="str">
        <f t="shared" ref="Q41:Q47" si="14">B41</f>
        <v>宗地形状</v>
      </c>
      <c r="R41" s="1508" t="s">
        <v>8</v>
      </c>
      <c r="S41" s="1509">
        <f t="shared" si="10"/>
        <v>100</v>
      </c>
      <c r="T41" s="1508" t="s">
        <v>8</v>
      </c>
      <c r="U41" s="1509">
        <f t="shared" si="11"/>
        <v>100</v>
      </c>
      <c r="V41" s="1508" t="s">
        <v>8</v>
      </c>
      <c r="W41" s="1509">
        <f t="shared" si="12"/>
        <v>100</v>
      </c>
      <c r="X41" s="1502"/>
      <c r="Y41" s="3545"/>
      <c r="Z41" s="1510" t="str">
        <f t="shared" si="13"/>
        <v>宗地形状</v>
      </c>
      <c r="AA41" s="1511">
        <f t="shared" si="3"/>
        <v>1</v>
      </c>
      <c r="AB41" s="1511">
        <f t="shared" si="4"/>
        <v>1</v>
      </c>
      <c r="AC41" s="1511">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5"/>
      <c r="Q42" s="1507" t="str">
        <f t="shared" si="14"/>
        <v>临街宽度及深度</v>
      </c>
      <c r="R42" s="1508" t="s">
        <v>8</v>
      </c>
      <c r="S42" s="1509">
        <f t="shared" si="10"/>
        <v>100</v>
      </c>
      <c r="T42" s="1508" t="s">
        <v>8</v>
      </c>
      <c r="U42" s="1509">
        <f t="shared" si="11"/>
        <v>100</v>
      </c>
      <c r="V42" s="1508" t="s">
        <v>8</v>
      </c>
      <c r="W42" s="1509">
        <f t="shared" si="12"/>
        <v>100</v>
      </c>
      <c r="X42" s="1502"/>
      <c r="Y42" s="3545"/>
      <c r="Z42" s="1510" t="str">
        <f t="shared" si="13"/>
        <v>临街宽度及深度</v>
      </c>
      <c r="AA42" s="1511">
        <f t="shared" si="3"/>
        <v>1</v>
      </c>
      <c r="AB42" s="1511">
        <f t="shared" si="4"/>
        <v>1</v>
      </c>
      <c r="AC42" s="1511">
        <f t="shared" si="5"/>
        <v>1</v>
      </c>
    </row>
    <row r="43" spans="1:29" s="1203" customFormat="1" ht="20.25">
      <c r="A43" s="594"/>
      <c r="B43" s="1809" t="s">
        <v>2404</v>
      </c>
      <c r="C43" s="595" t="s">
        <v>3167</v>
      </c>
      <c r="D43" s="253">
        <v>100</v>
      </c>
      <c r="E43" s="595" t="s">
        <v>3167</v>
      </c>
      <c r="F43" s="534">
        <f>SUMIF(125:125,E43,126:126)-SUMIF(125:125,C43,126:126)+100</f>
        <v>100</v>
      </c>
      <c r="G43" s="595" t="s">
        <v>3167</v>
      </c>
      <c r="H43" s="534">
        <f>SUMIF(125:125,G43,126:126)-SUMIF(125:125,C43,126:126)+100</f>
        <v>100</v>
      </c>
      <c r="I43" s="595" t="s">
        <v>3167</v>
      </c>
      <c r="J43" s="534">
        <f>SUMIF(125:125,I43,126:126)-SUMIF(125:125,C43,126:126)+100</f>
        <v>100</v>
      </c>
      <c r="K43" s="578">
        <v>1</v>
      </c>
      <c r="L43" s="2017"/>
      <c r="M43" s="2014"/>
      <c r="N43" s="2014"/>
      <c r="O43" s="2019"/>
      <c r="P43" s="3545"/>
      <c r="Q43" s="1507" t="str">
        <f t="shared" si="14"/>
        <v>宗地开发程度</v>
      </c>
      <c r="R43" s="1503" t="s">
        <v>8</v>
      </c>
      <c r="S43" s="1504">
        <f t="shared" si="10"/>
        <v>100</v>
      </c>
      <c r="T43" s="1503" t="s">
        <v>8</v>
      </c>
      <c r="U43" s="1504">
        <f t="shared" si="11"/>
        <v>100</v>
      </c>
      <c r="V43" s="1503" t="s">
        <v>8</v>
      </c>
      <c r="W43" s="1504">
        <f t="shared" si="12"/>
        <v>100</v>
      </c>
      <c r="X43" s="1505"/>
      <c r="Y43" s="3545"/>
      <c r="Z43" s="1133" t="str">
        <f t="shared" si="13"/>
        <v>宗地开发程度</v>
      </c>
      <c r="AA43" s="1506">
        <f t="shared" si="3"/>
        <v>1</v>
      </c>
      <c r="AB43" s="1506">
        <f t="shared" si="4"/>
        <v>1</v>
      </c>
      <c r="AC43" s="1506">
        <f t="shared" si="5"/>
        <v>1</v>
      </c>
    </row>
    <row r="44" spans="1:29" ht="21" thickBot="1">
      <c r="A44" s="588"/>
      <c r="B44" s="521" t="s">
        <v>549</v>
      </c>
      <c r="C44" s="593" t="s">
        <v>3149</v>
      </c>
      <c r="D44" s="534">
        <v>100</v>
      </c>
      <c r="E44" s="593" t="s">
        <v>3149</v>
      </c>
      <c r="F44" s="534">
        <f>SUMIF(127:127,E44,128:128)-SUMIF(127:127,C44,128:128)+100</f>
        <v>100</v>
      </c>
      <c r="G44" s="593" t="s">
        <v>3149</v>
      </c>
      <c r="H44" s="534">
        <f>SUMIF(127:127,G44,128:128)-SUMIF(127:127,C44,128:128)+100</f>
        <v>100</v>
      </c>
      <c r="I44" s="593" t="s">
        <v>3149</v>
      </c>
      <c r="J44" s="534">
        <f>SUMIF(127:127,I44,128:128)-SUMIF(127:127,C44,128:128)+100</f>
        <v>100</v>
      </c>
      <c r="K44" s="578">
        <v>2</v>
      </c>
      <c r="L44" s="2024"/>
      <c r="M44" s="2014"/>
      <c r="N44" s="2014"/>
      <c r="O44" s="2023"/>
      <c r="P44" s="3545" t="s">
        <v>544</v>
      </c>
      <c r="Q44" s="1507" t="str">
        <f t="shared" si="14"/>
        <v>工程地质条件</v>
      </c>
      <c r="R44" s="1508" t="s">
        <v>8</v>
      </c>
      <c r="S44" s="1509">
        <f t="shared" si="10"/>
        <v>100</v>
      </c>
      <c r="T44" s="1508" t="s">
        <v>8</v>
      </c>
      <c r="U44" s="1509">
        <f t="shared" si="11"/>
        <v>100</v>
      </c>
      <c r="V44" s="1508" t="s">
        <v>8</v>
      </c>
      <c r="W44" s="1509">
        <f t="shared" si="12"/>
        <v>100</v>
      </c>
      <c r="X44" s="1502"/>
      <c r="Y44" s="3545" t="s">
        <v>544</v>
      </c>
      <c r="Z44" s="1510" t="str">
        <f t="shared" si="13"/>
        <v>工程地质条件</v>
      </c>
      <c r="AA44" s="1511">
        <f t="shared" si="3"/>
        <v>1</v>
      </c>
      <c r="AB44" s="1511">
        <f t="shared" si="4"/>
        <v>1</v>
      </c>
      <c r="AC44" s="1511">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5"/>
      <c r="Q45" s="1507">
        <f t="shared" si="14"/>
        <v>111</v>
      </c>
      <c r="R45" s="1508" t="s">
        <v>8</v>
      </c>
      <c r="S45" s="1509">
        <f t="shared" si="10"/>
        <v>100</v>
      </c>
      <c r="T45" s="1508" t="s">
        <v>8</v>
      </c>
      <c r="U45" s="1509">
        <f t="shared" si="11"/>
        <v>100</v>
      </c>
      <c r="V45" s="1508" t="s">
        <v>8</v>
      </c>
      <c r="W45" s="1509">
        <f t="shared" si="12"/>
        <v>100</v>
      </c>
      <c r="X45" s="1502"/>
      <c r="Y45" s="3545"/>
      <c r="Z45" s="1510">
        <f t="shared" si="13"/>
        <v>111</v>
      </c>
      <c r="AA45" s="1511">
        <f t="shared" si="3"/>
        <v>1</v>
      </c>
      <c r="AB45" s="1511">
        <f t="shared" si="4"/>
        <v>1</v>
      </c>
      <c r="AC45" s="1511">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5"/>
      <c r="Q46" s="1507">
        <f t="shared" si="14"/>
        <v>111</v>
      </c>
      <c r="R46" s="1508" t="s">
        <v>8</v>
      </c>
      <c r="S46" s="1509">
        <f t="shared" si="10"/>
        <v>100</v>
      </c>
      <c r="T46" s="1508" t="s">
        <v>8</v>
      </c>
      <c r="U46" s="1509">
        <f t="shared" si="11"/>
        <v>100</v>
      </c>
      <c r="V46" s="1508" t="s">
        <v>8</v>
      </c>
      <c r="W46" s="1509">
        <f t="shared" si="12"/>
        <v>100</v>
      </c>
      <c r="X46" s="1502"/>
      <c r="Y46" s="3545"/>
      <c r="Z46" s="1510">
        <f t="shared" si="13"/>
        <v>111</v>
      </c>
      <c r="AA46" s="1511">
        <f t="shared" si="3"/>
        <v>1</v>
      </c>
      <c r="AB46" s="1511">
        <f t="shared" si="4"/>
        <v>1</v>
      </c>
      <c r="AC46" s="1511">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5"/>
      <c r="Q47" s="1507">
        <f t="shared" si="14"/>
        <v>111</v>
      </c>
      <c r="R47" s="1512" t="s">
        <v>8</v>
      </c>
      <c r="S47" s="1513">
        <f t="shared" si="10"/>
        <v>100</v>
      </c>
      <c r="T47" s="1512" t="s">
        <v>8</v>
      </c>
      <c r="U47" s="1513">
        <f t="shared" si="11"/>
        <v>100</v>
      </c>
      <c r="V47" s="1512" t="s">
        <v>8</v>
      </c>
      <c r="W47" s="1513">
        <f t="shared" si="12"/>
        <v>100</v>
      </c>
      <c r="X47" s="1514"/>
      <c r="Y47" s="3545"/>
      <c r="Z47" s="1515">
        <f t="shared" si="13"/>
        <v>111</v>
      </c>
      <c r="AA47" s="1511">
        <f t="shared" si="3"/>
        <v>1</v>
      </c>
      <c r="AB47" s="1511">
        <f t="shared" si="4"/>
        <v>1</v>
      </c>
      <c r="AC47" s="1511">
        <f t="shared" si="5"/>
        <v>1</v>
      </c>
    </row>
    <row r="48" spans="1:29" ht="20.25">
      <c r="A48" s="601" t="s">
        <v>550</v>
      </c>
      <c r="B48" s="602" t="s">
        <v>3354</v>
      </c>
      <c r="C48" s="603" t="s">
        <v>1</v>
      </c>
      <c r="D48" s="604"/>
      <c r="E48" s="605">
        <f>土地案例!N12</f>
        <v>1048</v>
      </c>
      <c r="F48" s="606"/>
      <c r="G48" s="607">
        <f>土地案例!N37</f>
        <v>1200</v>
      </c>
      <c r="H48" s="608"/>
      <c r="I48" s="605">
        <f>土地案例!N43</f>
        <v>1281</v>
      </c>
      <c r="J48" s="608"/>
      <c r="K48" s="1294"/>
      <c r="L48" s="2026"/>
      <c r="M48" s="2014"/>
      <c r="N48" s="2014"/>
      <c r="O48" s="2027"/>
      <c r="P48" s="3506" t="str">
        <f>A48</f>
        <v>成交单价</v>
      </c>
      <c r="Q48" s="3506"/>
      <c r="R48" s="3507">
        <f>E48</f>
        <v>1048</v>
      </c>
      <c r="S48" s="3507"/>
      <c r="T48" s="3507">
        <f>G48</f>
        <v>1200</v>
      </c>
      <c r="U48" s="3507"/>
      <c r="V48" s="3507">
        <f>I48</f>
        <v>1281</v>
      </c>
      <c r="W48" s="3507"/>
      <c r="X48" s="1497"/>
      <c r="Y48" s="1516"/>
      <c r="Z48" s="1497"/>
      <c r="AA48" s="1497"/>
      <c r="AB48" s="1497"/>
      <c r="AC48" s="1497"/>
    </row>
    <row r="49" spans="1:29" ht="21" thickBot="1">
      <c r="A49" s="609" t="s">
        <v>2669</v>
      </c>
      <c r="B49" s="610"/>
      <c r="C49" s="611">
        <f>R50</f>
        <v>1216</v>
      </c>
      <c r="D49" s="3014" t="s">
        <v>2954</v>
      </c>
      <c r="E49" s="611">
        <f>R49</f>
        <v>1048</v>
      </c>
      <c r="F49" s="3015"/>
      <c r="G49" s="612">
        <f>T49</f>
        <v>1263</v>
      </c>
      <c r="H49" s="3015"/>
      <c r="I49" s="611">
        <f>V49</f>
        <v>1336</v>
      </c>
      <c r="J49" s="3015"/>
      <c r="K49" s="3016">
        <f>F49+H49+J49</f>
        <v>0</v>
      </c>
      <c r="L49" s="2026"/>
      <c r="M49" s="2014"/>
      <c r="N49" s="2014"/>
      <c r="O49" s="2027"/>
      <c r="P49" s="3506" t="str">
        <f>A49</f>
        <v>比较价格（元/平方米）</v>
      </c>
      <c r="Q49" s="3506"/>
      <c r="R49" s="3508">
        <f>ROUND(PRODUCT(R48,AA9:AA47),0)</f>
        <v>1048</v>
      </c>
      <c r="S49" s="3508"/>
      <c r="T49" s="3508">
        <f>ROUND(PRODUCT(T48,AB9:AB47),0)</f>
        <v>1263</v>
      </c>
      <c r="U49" s="3508"/>
      <c r="V49" s="3508">
        <f>ROUND(PRODUCT(V48,AC9:AC47),0)</f>
        <v>1336</v>
      </c>
      <c r="W49" s="3508"/>
      <c r="X49" s="1497"/>
      <c r="Y49" s="1497"/>
      <c r="Z49" s="1497"/>
      <c r="AA49" s="1497"/>
      <c r="AB49" s="1497"/>
      <c r="AC49" s="1497"/>
    </row>
    <row r="50" spans="1:29" ht="21" thickBot="1">
      <c r="A50" s="613" t="s">
        <v>2886</v>
      </c>
      <c r="B50" s="614"/>
      <c r="C50" s="615">
        <f>R50</f>
        <v>1216</v>
      </c>
      <c r="D50" s="615"/>
      <c r="E50" s="615"/>
      <c r="F50" s="615"/>
      <c r="G50" s="615"/>
      <c r="H50" s="615"/>
      <c r="I50" s="615"/>
      <c r="J50" s="615"/>
      <c r="K50" s="1295"/>
      <c r="L50" s="2026"/>
      <c r="M50" s="2014"/>
      <c r="N50" s="2014"/>
      <c r="O50" s="2027"/>
      <c r="P50" s="3503" t="str">
        <f>A50</f>
        <v>估价对象XX用房的比较价格（楼面单价，元/平方米）</v>
      </c>
      <c r="Q50" s="3504"/>
      <c r="R50" s="3505">
        <f>ROUND(IF(D49="简单平均",AVERAGE(R49:W49),R49*F49+T49*H49+V49*J49),0)</f>
        <v>1216</v>
      </c>
      <c r="S50" s="3505"/>
      <c r="T50" s="3505"/>
      <c r="U50" s="3505"/>
      <c r="V50" s="3505"/>
      <c r="W50" s="3505"/>
      <c r="X50" s="1497"/>
      <c r="Y50" s="1497"/>
      <c r="Z50" s="1497"/>
      <c r="AA50" s="1497"/>
      <c r="AB50" s="1497"/>
      <c r="AC50" s="1497"/>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f>IF(E48&lt;E49,E49/E48-1,E48/E49-1)</f>
        <v>0</v>
      </c>
      <c r="F53" s="619" t="str">
        <f>IF(OR(E53&gt;=0.3,E53&lt;=-0.3),"超过30%","")</f>
        <v/>
      </c>
      <c r="G53" s="618">
        <f>IF(G48&lt;G49,G49/G48-1,G48/G49-1)</f>
        <v>5.2499999999999991E-2</v>
      </c>
      <c r="H53" s="619" t="str">
        <f>IF(OR(G53&gt;=0.3,G53&lt;=-0.3),"超过30%","")</f>
        <v/>
      </c>
      <c r="I53" s="618">
        <f>IF(I48&lt;I49,I49/I48-1,I48/I49-1)</f>
        <v>4.2935206869633147E-2</v>
      </c>
      <c r="J53" s="619" t="str">
        <f>IF(OR(I53&gt;=0.3,I53&lt;=-0.3),"超过30%","")</f>
        <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f>IF(E49&lt;G49,G49/E49-1,E49/G49-1)</f>
        <v>0.20515267175572527</v>
      </c>
      <c r="F54" s="619" t="str">
        <f>IF(OR(E54&gt;=0.2,E54&lt;=-0.2),"超过20%","")</f>
        <v>超过20%</v>
      </c>
      <c r="G54" s="618">
        <f>IF(G49&lt;I49,I49/G49-1,G49/I49-1)</f>
        <v>5.7798891528107577E-2</v>
      </c>
      <c r="H54" s="619" t="str">
        <f>IF(OR(G54&gt;=0.2,G54&lt;=-0.2),"超过20%","")</f>
        <v/>
      </c>
      <c r="I54" s="618">
        <f>IF(I49&lt;E49,E49/I49-1,I49/E49-1)</f>
        <v>0.27480916030534353</v>
      </c>
      <c r="J54" s="619" t="str">
        <f>IF(OR(I54&gt;=0.2,I54&lt;=-0.2),"超过20%","")</f>
        <v>超过20%</v>
      </c>
      <c r="K54" s="3214"/>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2"/>
      <c r="B55" s="3212"/>
      <c r="C55" s="616" t="s">
        <v>553</v>
      </c>
      <c r="D55" s="620"/>
      <c r="E55" s="618">
        <f>IF(E48&lt;G48,G48/E48-1,E48/G48-1)</f>
        <v>0.14503816793893121</v>
      </c>
      <c r="F55" s="619" t="str">
        <f>IF(OR(E55&gt;=0.3,E55&lt;=-0.3),"超过30%","")</f>
        <v/>
      </c>
      <c r="G55" s="618">
        <f>IF(G48&lt;I48,I48/G48-1,G48/I48-1)</f>
        <v>6.7499999999999893E-2</v>
      </c>
      <c r="H55" s="619" t="str">
        <f>IF(OR(G55&gt;=0.3,G55&lt;=-0.3),"超过30%","")</f>
        <v/>
      </c>
      <c r="I55" s="618">
        <f>IF(I48&lt;E48,E48/I48-1,I48/E48-1)</f>
        <v>0.22232824427480913</v>
      </c>
      <c r="J55" s="619" t="str">
        <f>IF(OR(I55&gt;=0.3,I55&lt;=-0.3),"超过30%","")</f>
        <v/>
      </c>
      <c r="K55" s="3215"/>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2278</v>
      </c>
      <c r="E57" s="623" t="s">
        <v>556</v>
      </c>
      <c r="F57" s="624" t="s">
        <v>557</v>
      </c>
      <c r="G57" s="3534" t="s">
        <v>2266</v>
      </c>
      <c r="H57" s="3535"/>
      <c r="I57" s="1494" t="s">
        <v>1713</v>
      </c>
      <c r="J57" s="1494" t="str">
        <f>项目基本情况!F41</f>
        <v>湖北省黄石市</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1216</v>
      </c>
      <c r="C58" s="627">
        <v>1</v>
      </c>
      <c r="D58" s="2108">
        <v>1</v>
      </c>
      <c r="E58" s="627">
        <f>'数据-汇总表'!E8+'数据-汇总表'!E9</f>
        <v>37819.53</v>
      </c>
      <c r="F58" s="628">
        <f t="shared" ref="F58:F67" si="15">ROUND(B58*E58/10000,0)</f>
        <v>4599</v>
      </c>
      <c r="G58" s="3536"/>
      <c r="H58" s="3537"/>
      <c r="I58" s="1495">
        <v>1</v>
      </c>
      <c r="J58" s="1495">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538" t="s">
        <v>2267</v>
      </c>
      <c r="H59" s="1862">
        <f>项目基本情况!B43</f>
        <v>0</v>
      </c>
      <c r="I59" s="1495">
        <f>SUMIF(修正!$A$45:$A$56,H59,修正!B45:B56)</f>
        <v>0</v>
      </c>
      <c r="J59" s="1496"/>
      <c r="K59" s="3216"/>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538"/>
      <c r="H60" s="1862">
        <f>项目基本情况!B43</f>
        <v>0</v>
      </c>
      <c r="I60" s="1495">
        <f>SUMIF(修正!$A$45:$A$56,H60,修正!C45:C56)</f>
        <v>0</v>
      </c>
      <c r="J60" s="1496"/>
      <c r="K60" s="3216"/>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538"/>
      <c r="H61" s="1862">
        <f>项目基本情况!B43</f>
        <v>0</v>
      </c>
      <c r="I61" s="1495">
        <f>SUMIF(修正!$A$45:$A$56,H61,修正!D45:D56)</f>
        <v>0</v>
      </c>
      <c r="J61" s="1496"/>
      <c r="K61" s="3216"/>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538"/>
      <c r="H62" s="1862">
        <f>项目基本情况!B43</f>
        <v>0</v>
      </c>
      <c r="I62" s="1495">
        <f>SUMIF(修正!$A$45:$A$56,H62,修正!E45:E56)</f>
        <v>0</v>
      </c>
      <c r="J62" s="1496"/>
      <c r="K62" s="3216"/>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2311</v>
      </c>
      <c r="B63" s="630">
        <f t="shared" si="17"/>
        <v>0</v>
      </c>
      <c r="C63" s="372">
        <f t="shared" si="16"/>
        <v>0</v>
      </c>
      <c r="D63" s="2109">
        <v>0.25</v>
      </c>
      <c r="E63" s="633">
        <f>'数据-汇总表'!E11</f>
        <v>0</v>
      </c>
      <c r="F63" s="628">
        <f t="shared" si="15"/>
        <v>0</v>
      </c>
      <c r="G63" s="1859" t="s">
        <v>2268</v>
      </c>
      <c r="H63" s="1862">
        <f>项目基本情况!C43</f>
        <v>0</v>
      </c>
      <c r="I63" s="1495">
        <f>SUMIF(修正!$A$45:$A$56,H63,修正!F45:F56)</f>
        <v>0</v>
      </c>
      <c r="J63" s="1496"/>
      <c r="K63" s="3216"/>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5">
        <f>SUMIF(修正!$A$45:$A$56,H64,修正!G45:G56)</f>
        <v>0</v>
      </c>
      <c r="J64" s="1496"/>
      <c r="K64" s="3216"/>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5">
        <f>SUMIF(修正!$A$45:$A$56,H65,修正!H45:H56)</f>
        <v>0</v>
      </c>
      <c r="J65" s="1496"/>
      <c r="K65" s="3216"/>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2267</v>
      </c>
      <c r="H66" s="1862">
        <f>项目基本情况!B43</f>
        <v>0</v>
      </c>
      <c r="I66" s="1495">
        <f>SUMIF(修正!$A$45:$A$56,H66,修正!H45:H56)</f>
        <v>0</v>
      </c>
      <c r="J66" s="1496"/>
      <c r="K66" s="3216"/>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2268</v>
      </c>
      <c r="H67" s="1863">
        <f>项目基本情况!C43</f>
        <v>0</v>
      </c>
      <c r="I67" s="1495">
        <f>SUMIF(修正!$A$45:$A$56,H67,修正!H45:H56)</f>
        <v>0</v>
      </c>
      <c r="J67" s="1496"/>
      <c r="K67" s="3216"/>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2279</v>
      </c>
      <c r="E68" s="635">
        <f>IF(B48="楼面地价",SUM(E58:E67),'数据-汇总表'!D3)</f>
        <v>37819.53</v>
      </c>
      <c r="F68" s="636">
        <f>IF(B48="楼面地价",SUM(F58:F67),ROUND(C50*E68/10000,0))</f>
        <v>4599</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2020-12-1</v>
      </c>
      <c r="D70" s="2516">
        <f>EDATE(C70,-3)</f>
        <v>44075</v>
      </c>
      <c r="E70" s="2516">
        <f t="shared" ref="E70:N70" si="18">EDATE(D70,-3)</f>
        <v>43983</v>
      </c>
      <c r="F70" s="2516">
        <f t="shared" si="18"/>
        <v>43891</v>
      </c>
      <c r="G70" s="2516">
        <f t="shared" si="18"/>
        <v>43800</v>
      </c>
      <c r="H70" s="2516">
        <f t="shared" si="18"/>
        <v>43709</v>
      </c>
      <c r="I70" s="2516">
        <f t="shared" si="18"/>
        <v>43617</v>
      </c>
      <c r="J70" s="2516">
        <f t="shared" si="18"/>
        <v>43525</v>
      </c>
      <c r="K70" s="2516">
        <f t="shared" si="18"/>
        <v>43435</v>
      </c>
      <c r="L70" s="2516">
        <f t="shared" si="18"/>
        <v>43344</v>
      </c>
      <c r="M70" s="2516">
        <f t="shared" si="18"/>
        <v>43252</v>
      </c>
      <c r="N70" s="2516">
        <f t="shared" si="18"/>
        <v>43160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2509</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2623</v>
      </c>
      <c r="B73" s="473" t="str">
        <f>"北京市平均增长率"&amp;TEXT(SUMIF(基准地价!N21:N25,A73,基准地价!P21:P25),"0.00%")</f>
        <v>北京市平均增长率1.74%</v>
      </c>
      <c r="C73" s="883">
        <v>100</v>
      </c>
      <c r="D73" s="3284">
        <f>C73-$C$74</f>
        <v>99</v>
      </c>
      <c r="E73" s="3284">
        <f t="shared" ref="E73:N73" si="20">D73-$C$74</f>
        <v>98</v>
      </c>
      <c r="F73" s="3284">
        <f t="shared" si="20"/>
        <v>97</v>
      </c>
      <c r="G73" s="3284">
        <f t="shared" si="20"/>
        <v>96</v>
      </c>
      <c r="H73" s="3284">
        <f t="shared" si="20"/>
        <v>95</v>
      </c>
      <c r="I73" s="3284">
        <f t="shared" si="20"/>
        <v>94</v>
      </c>
      <c r="J73" s="3284">
        <f t="shared" si="20"/>
        <v>93</v>
      </c>
      <c r="K73" s="3284">
        <f t="shared" si="20"/>
        <v>92</v>
      </c>
      <c r="L73" s="3284">
        <f t="shared" si="20"/>
        <v>91</v>
      </c>
      <c r="M73" s="3284">
        <f t="shared" si="20"/>
        <v>90</v>
      </c>
      <c r="N73" s="3284">
        <f t="shared" si="20"/>
        <v>89</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2622</v>
      </c>
      <c r="B74" s="2522"/>
      <c r="C74" s="3285">
        <v>1</v>
      </c>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99" t="s">
        <v>3155</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4（含）-5</v>
      </c>
      <c r="H81" s="674" t="str">
        <f t="shared" si="21"/>
        <v>5（含）-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v>4</v>
      </c>
      <c r="H82" s="535">
        <v>5</v>
      </c>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hidden="1"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hidden="1"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hidden="1"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hidden="1"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ht="15" thickTop="1">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97</v>
      </c>
      <c r="E91" s="671">
        <f>D91-$K17</f>
        <v>94</v>
      </c>
      <c r="F91" s="671">
        <f>E91-$K17</f>
        <v>91</v>
      </c>
      <c r="G91" s="671">
        <f>F91-$K17</f>
        <v>88</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2525</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2527</v>
      </c>
      <c r="C104" s="2442" t="s">
        <v>2528</v>
      </c>
      <c r="D104" s="2442" t="s">
        <v>2529</v>
      </c>
      <c r="E104" s="2442" t="s">
        <v>2530</v>
      </c>
      <c r="F104" s="2442" t="s">
        <v>2531</v>
      </c>
      <c r="G104" s="2442" t="s">
        <v>2532</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98</v>
      </c>
      <c r="E107" s="671">
        <f t="shared" ref="E107:M107" si="23">D107-$K33</f>
        <v>96</v>
      </c>
      <c r="F107" s="671">
        <f t="shared" si="23"/>
        <v>94</v>
      </c>
      <c r="G107" s="671">
        <f t="shared" si="23"/>
        <v>92</v>
      </c>
      <c r="H107" s="671">
        <f t="shared" si="23"/>
        <v>90</v>
      </c>
      <c r="I107" s="671">
        <f t="shared" si="23"/>
        <v>88</v>
      </c>
      <c r="J107" s="671">
        <f t="shared" si="23"/>
        <v>86</v>
      </c>
      <c r="K107" s="671">
        <f t="shared" si="23"/>
        <v>84</v>
      </c>
      <c r="L107" s="671">
        <f t="shared" si="23"/>
        <v>82</v>
      </c>
      <c r="M107" s="671">
        <f t="shared" si="23"/>
        <v>80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3300" t="s">
        <v>3156</v>
      </c>
      <c r="D108" s="3300" t="s">
        <v>3157</v>
      </c>
      <c r="E108" s="3300" t="s">
        <v>3158</v>
      </c>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99</v>
      </c>
      <c r="E109" s="671">
        <f t="shared" ref="E109:M109" si="24">D109-$K34</f>
        <v>98</v>
      </c>
      <c r="F109" s="671">
        <f t="shared" si="24"/>
        <v>97</v>
      </c>
      <c r="G109" s="671">
        <f t="shared" si="24"/>
        <v>96</v>
      </c>
      <c r="H109" s="671">
        <f t="shared" si="24"/>
        <v>95</v>
      </c>
      <c r="I109" s="671">
        <f t="shared" si="24"/>
        <v>94</v>
      </c>
      <c r="J109" s="671">
        <f t="shared" si="24"/>
        <v>93</v>
      </c>
      <c r="K109" s="671">
        <f t="shared" si="24"/>
        <v>92</v>
      </c>
      <c r="L109" s="671">
        <f t="shared" si="24"/>
        <v>91</v>
      </c>
      <c r="M109" s="671">
        <f t="shared" si="24"/>
        <v>90</v>
      </c>
      <c r="N109" s="2047"/>
      <c r="O109" s="2047"/>
      <c r="P109" s="2046"/>
      <c r="Q109" s="2039"/>
      <c r="R109" s="2027"/>
      <c r="S109" s="2027"/>
      <c r="T109" s="2027"/>
      <c r="U109" s="2027"/>
      <c r="V109" s="2027"/>
      <c r="W109" s="2027"/>
      <c r="X109" s="2027"/>
      <c r="Y109" s="2027"/>
      <c r="Z109" s="2027"/>
      <c r="AA109" s="2027"/>
      <c r="AB109" s="2027"/>
      <c r="AC109" s="2027"/>
    </row>
    <row r="110" spans="1:29" ht="15.75" hidden="1"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hidden="1"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hidden="1"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hidden="1"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hidden="1"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hidden="1"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hidden="1"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hidden="1"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9.25" thickTop="1">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102</v>
      </c>
      <c r="E120" s="718">
        <v>104</v>
      </c>
      <c r="F120" s="718">
        <v>106</v>
      </c>
      <c r="G120" s="718">
        <v>108</v>
      </c>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301" t="s">
        <v>3159</v>
      </c>
      <c r="D121" s="3301" t="s">
        <v>3160</v>
      </c>
      <c r="E121" s="3301" t="s">
        <v>3161</v>
      </c>
      <c r="F121" s="3301" t="s">
        <v>3162</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2405</v>
      </c>
      <c r="C125" s="3302" t="s">
        <v>3163</v>
      </c>
      <c r="D125" s="3302" t="s">
        <v>3164</v>
      </c>
      <c r="E125" s="3302" t="s">
        <v>3165</v>
      </c>
      <c r="F125" s="3302" t="s">
        <v>3166</v>
      </c>
      <c r="G125" s="3302" t="s">
        <v>3167</v>
      </c>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3300" t="s">
        <v>3168</v>
      </c>
      <c r="D127" s="3300" t="s">
        <v>3170</v>
      </c>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98</v>
      </c>
      <c r="E128" s="671">
        <f t="shared" si="30"/>
        <v>96</v>
      </c>
      <c r="F128" s="671">
        <f t="shared" si="30"/>
        <v>94</v>
      </c>
      <c r="G128" s="671">
        <f t="shared" si="30"/>
        <v>92</v>
      </c>
      <c r="H128" s="671">
        <f t="shared" si="30"/>
        <v>90</v>
      </c>
      <c r="I128" s="671">
        <f t="shared" si="30"/>
        <v>88</v>
      </c>
      <c r="J128" s="671">
        <f t="shared" si="30"/>
        <v>86</v>
      </c>
      <c r="K128" s="671">
        <f t="shared" si="30"/>
        <v>84</v>
      </c>
      <c r="L128" s="671">
        <f t="shared" si="30"/>
        <v>82</v>
      </c>
      <c r="M128" s="672">
        <f t="shared" si="30"/>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7"/>
      <c r="M1" s="3208"/>
      <c r="N1" s="3208"/>
      <c r="O1" s="3208"/>
      <c r="P1" s="2014"/>
      <c r="Q1" s="2014"/>
      <c r="R1" s="2014"/>
      <c r="S1" s="2014"/>
      <c r="T1" s="2014"/>
      <c r="U1" s="2014"/>
      <c r="V1" s="2014"/>
      <c r="W1" s="2014"/>
      <c r="X1" s="2014"/>
      <c r="Y1" s="2014"/>
      <c r="Z1" s="2014"/>
      <c r="AA1" s="2014"/>
      <c r="AB1" s="2014"/>
      <c r="AC1" s="3209"/>
    </row>
    <row r="2" spans="1:29" s="1290" customFormat="1" ht="28.5" customHeight="1">
      <c r="A2" s="417" t="s">
        <v>461</v>
      </c>
      <c r="B2" s="502"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90" customFormat="1" ht="28.5" customHeight="1">
      <c r="A3" s="1332" t="s">
        <v>1676</v>
      </c>
      <c r="B3" s="504"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6" t="s">
        <v>515</v>
      </c>
      <c r="B6" s="507"/>
      <c r="C6" s="3512" t="s">
        <v>516</v>
      </c>
      <c r="D6" s="3513"/>
      <c r="E6" s="3548" t="s">
        <v>517</v>
      </c>
      <c r="F6" s="3549"/>
      <c r="G6" s="3512" t="s">
        <v>518</v>
      </c>
      <c r="H6" s="3513"/>
      <c r="I6" s="3512" t="s">
        <v>519</v>
      </c>
      <c r="J6" s="3513"/>
      <c r="K6" s="508" t="s">
        <v>520</v>
      </c>
      <c r="L6" s="2015"/>
      <c r="M6" s="2016"/>
      <c r="N6" s="2016"/>
      <c r="O6" s="2016"/>
      <c r="P6" s="3514" t="s">
        <v>521</v>
      </c>
      <c r="Q6" s="3515"/>
      <c r="R6" s="3520" t="s">
        <v>517</v>
      </c>
      <c r="S6" s="3521"/>
      <c r="T6" s="3520" t="s">
        <v>518</v>
      </c>
      <c r="U6" s="3521"/>
      <c r="V6" s="3507" t="s">
        <v>519</v>
      </c>
      <c r="W6" s="3507"/>
      <c r="X6" s="1502"/>
      <c r="Y6" s="3520" t="s">
        <v>521</v>
      </c>
      <c r="Z6" s="3521"/>
      <c r="AA6" s="3509" t="s">
        <v>517</v>
      </c>
      <c r="AB6" s="3510" t="s">
        <v>518</v>
      </c>
      <c r="AC6" s="3509" t="s">
        <v>519</v>
      </c>
    </row>
    <row r="7" spans="1:29" ht="15">
      <c r="A7" s="509"/>
      <c r="B7" s="510"/>
      <c r="C7" s="3528" t="s">
        <v>2880</v>
      </c>
      <c r="D7" s="3529"/>
      <c r="E7" s="3550" t="s">
        <v>2881</v>
      </c>
      <c r="F7" s="3551"/>
      <c r="G7" s="3528" t="s">
        <v>2882</v>
      </c>
      <c r="H7" s="3529"/>
      <c r="I7" s="3528" t="s">
        <v>2883</v>
      </c>
      <c r="J7" s="3529"/>
      <c r="K7" s="508"/>
      <c r="L7" s="2015"/>
      <c r="M7" s="2016"/>
      <c r="N7" s="2016"/>
      <c r="O7" s="2016"/>
      <c r="P7" s="3516"/>
      <c r="Q7" s="3517"/>
      <c r="R7" s="3522"/>
      <c r="S7" s="3523"/>
      <c r="T7" s="3522"/>
      <c r="U7" s="3523"/>
      <c r="V7" s="3507"/>
      <c r="W7" s="3507"/>
      <c r="X7" s="1502"/>
      <c r="Y7" s="3522"/>
      <c r="Z7" s="3523"/>
      <c r="AA7" s="3510"/>
      <c r="AB7" s="3510"/>
      <c r="AC7" s="3510"/>
    </row>
    <row r="8" spans="1:29" ht="15.75" thickBot="1">
      <c r="A8" s="511"/>
      <c r="B8" s="512"/>
      <c r="C8" s="3526" t="s">
        <v>2884</v>
      </c>
      <c r="D8" s="3527"/>
      <c r="E8" s="3546" t="s">
        <v>2884</v>
      </c>
      <c r="F8" s="3547"/>
      <c r="G8" s="3526" t="s">
        <v>2884</v>
      </c>
      <c r="H8" s="3527"/>
      <c r="I8" s="3526" t="s">
        <v>2884</v>
      </c>
      <c r="J8" s="3527"/>
      <c r="K8" s="508" t="s">
        <v>522</v>
      </c>
      <c r="L8" s="2015"/>
      <c r="M8" s="2016"/>
      <c r="N8" s="2016"/>
      <c r="O8" s="2016"/>
      <c r="P8" s="3518"/>
      <c r="Q8" s="3519"/>
      <c r="R8" s="3522"/>
      <c r="S8" s="3523"/>
      <c r="T8" s="3524"/>
      <c r="U8" s="3525"/>
      <c r="V8" s="3507"/>
      <c r="W8" s="3507"/>
      <c r="X8" s="1502"/>
      <c r="Y8" s="3524"/>
      <c r="Z8" s="3525"/>
      <c r="AA8" s="3511"/>
      <c r="AB8" s="3511"/>
      <c r="AC8" s="3511"/>
    </row>
    <row r="9" spans="1:29" s="1203" customFormat="1" ht="15.75" thickBot="1">
      <c r="A9" s="2629"/>
      <c r="B9" s="2636" t="s">
        <v>523</v>
      </c>
      <c r="C9" s="513">
        <f>'数据-取费表'!B2</f>
        <v>44166</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39" t="s">
        <v>524</v>
      </c>
      <c r="Q9" s="3541"/>
      <c r="R9" s="1503" t="s">
        <v>8</v>
      </c>
      <c r="S9" s="1504">
        <f t="shared" ref="S9:S17" si="0">F9</f>
        <v>0</v>
      </c>
      <c r="T9" s="1503" t="s">
        <v>8</v>
      </c>
      <c r="U9" s="1504">
        <f t="shared" ref="U9:U17" si="1">H9</f>
        <v>0</v>
      </c>
      <c r="V9" s="1503" t="s">
        <v>8</v>
      </c>
      <c r="W9" s="1504">
        <f t="shared" ref="W9:W17" si="2">J9</f>
        <v>0</v>
      </c>
      <c r="X9" s="1505"/>
      <c r="Y9" s="3539" t="s">
        <v>524</v>
      </c>
      <c r="Z9" s="3540"/>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39" t="s">
        <v>527</v>
      </c>
      <c r="Q10" s="3540"/>
      <c r="R10" s="1503" t="s">
        <v>8</v>
      </c>
      <c r="S10" s="1504">
        <f t="shared" si="0"/>
        <v>0</v>
      </c>
      <c r="T10" s="1503" t="s">
        <v>8</v>
      </c>
      <c r="U10" s="1504">
        <f t="shared" si="1"/>
        <v>0</v>
      </c>
      <c r="V10" s="1503" t="s">
        <v>8</v>
      </c>
      <c r="W10" s="1504">
        <f t="shared" si="2"/>
        <v>0</v>
      </c>
      <c r="X10" s="1505"/>
      <c r="Y10" s="3539" t="s">
        <v>527</v>
      </c>
      <c r="Z10" s="3540"/>
      <c r="AA10" s="1506" t="e">
        <f t="shared" ref="AA10:AA42" si="3">D10/F10</f>
        <v>#DIV/0!</v>
      </c>
      <c r="AB10" s="1506" t="e">
        <f t="shared" ref="AB10:AB42" si="4">D10/H10</f>
        <v>#DIV/0!</v>
      </c>
      <c r="AC10" s="1506" t="e">
        <f t="shared" ref="AC10:AC42" si="5">D10/J10</f>
        <v>#DIV/0!</v>
      </c>
    </row>
    <row r="11" spans="1:29" s="1203" customFormat="1" ht="15">
      <c r="A11" s="2631"/>
      <c r="B11" s="2638" t="s">
        <v>2732</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06" t="s">
        <v>529</v>
      </c>
      <c r="Q11" s="1134" t="str">
        <f t="shared" ref="Q11:Q17" si="6">B11</f>
        <v>用途</v>
      </c>
      <c r="R11" s="1503" t="s">
        <v>8</v>
      </c>
      <c r="S11" s="1504">
        <f t="shared" si="0"/>
        <v>100</v>
      </c>
      <c r="T11" s="1503" t="s">
        <v>8</v>
      </c>
      <c r="U11" s="1504">
        <f t="shared" si="1"/>
        <v>100</v>
      </c>
      <c r="V11" s="1503" t="s">
        <v>8</v>
      </c>
      <c r="W11" s="1504">
        <f t="shared" si="2"/>
        <v>100</v>
      </c>
      <c r="X11" s="1505"/>
      <c r="Y11" s="3452" t="s">
        <v>530</v>
      </c>
      <c r="Z11" s="1133" t="str">
        <f t="shared" ref="Z11:Z17" si="7">Q11</f>
        <v>用途</v>
      </c>
      <c r="AA11" s="1506">
        <f t="shared" si="3"/>
        <v>1</v>
      </c>
      <c r="AB11" s="1506">
        <f t="shared" si="4"/>
        <v>1</v>
      </c>
      <c r="AC11" s="1506">
        <f t="shared" si="5"/>
        <v>1</v>
      </c>
    </row>
    <row r="12" spans="1:29" s="1292" customFormat="1" ht="27">
      <c r="A12" s="2632"/>
      <c r="B12" s="2637" t="s">
        <v>2733</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06"/>
      <c r="Q12" s="1134" t="str">
        <f t="shared" si="6"/>
        <v>土地使用年限（年）</v>
      </c>
      <c r="R12" s="1503" t="s">
        <v>8</v>
      </c>
      <c r="S12" s="1504">
        <f t="shared" si="0"/>
        <v>100</v>
      </c>
      <c r="T12" s="1503" t="s">
        <v>8</v>
      </c>
      <c r="U12" s="1504">
        <f t="shared" si="1"/>
        <v>100</v>
      </c>
      <c r="V12" s="1503" t="s">
        <v>8</v>
      </c>
      <c r="W12" s="1504">
        <f t="shared" si="2"/>
        <v>100</v>
      </c>
      <c r="X12" s="1505"/>
      <c r="Y12" s="3452"/>
      <c r="Z12" s="1133" t="str">
        <f t="shared" si="7"/>
        <v>土地使用年限（年）</v>
      </c>
      <c r="AA12" s="1506">
        <f t="shared" si="3"/>
        <v>1</v>
      </c>
      <c r="AB12" s="1506">
        <f t="shared" si="4"/>
        <v>1</v>
      </c>
      <c r="AC12" s="1506">
        <f t="shared" si="5"/>
        <v>1</v>
      </c>
    </row>
    <row r="13" spans="1:29" ht="15">
      <c r="A13" s="2633"/>
      <c r="B13" s="2637" t="s">
        <v>2734</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06"/>
      <c r="Q13" s="1134" t="str">
        <f t="shared" si="6"/>
        <v>容积率</v>
      </c>
      <c r="R13" s="1503" t="s">
        <v>8</v>
      </c>
      <c r="S13" s="1504" t="e">
        <f t="shared" si="0"/>
        <v>#N/A</v>
      </c>
      <c r="T13" s="1503" t="s">
        <v>8</v>
      </c>
      <c r="U13" s="1504" t="e">
        <f t="shared" si="1"/>
        <v>#N/A</v>
      </c>
      <c r="V13" s="1503" t="s">
        <v>8</v>
      </c>
      <c r="W13" s="1504" t="e">
        <f t="shared" si="2"/>
        <v>#N/A</v>
      </c>
      <c r="X13" s="1505"/>
      <c r="Y13" s="3452"/>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06"/>
      <c r="Q14" s="1134">
        <f t="shared" si="6"/>
        <v>111</v>
      </c>
      <c r="R14" s="1503" t="s">
        <v>8</v>
      </c>
      <c r="S14" s="1504">
        <f t="shared" si="0"/>
        <v>100</v>
      </c>
      <c r="T14" s="1503" t="s">
        <v>8</v>
      </c>
      <c r="U14" s="1504">
        <f t="shared" si="1"/>
        <v>100</v>
      </c>
      <c r="V14" s="1503" t="s">
        <v>8</v>
      </c>
      <c r="W14" s="1504">
        <f t="shared" si="2"/>
        <v>100</v>
      </c>
      <c r="X14" s="1505"/>
      <c r="Y14" s="3452"/>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06"/>
      <c r="Q15" s="1134">
        <f t="shared" si="6"/>
        <v>111</v>
      </c>
      <c r="R15" s="1503" t="s">
        <v>8</v>
      </c>
      <c r="S15" s="1504">
        <f t="shared" si="0"/>
        <v>100</v>
      </c>
      <c r="T15" s="1503" t="s">
        <v>8</v>
      </c>
      <c r="U15" s="1504">
        <f t="shared" si="1"/>
        <v>100</v>
      </c>
      <c r="V15" s="1503" t="s">
        <v>8</v>
      </c>
      <c r="W15" s="1504">
        <f t="shared" si="2"/>
        <v>100</v>
      </c>
      <c r="X15" s="1505"/>
      <c r="Y15" s="3452"/>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06"/>
      <c r="Q16" s="1134">
        <f t="shared" si="6"/>
        <v>111</v>
      </c>
      <c r="R16" s="1503" t="s">
        <v>8</v>
      </c>
      <c r="S16" s="1504">
        <f t="shared" si="0"/>
        <v>100</v>
      </c>
      <c r="T16" s="1503" t="s">
        <v>8</v>
      </c>
      <c r="U16" s="1504">
        <f t="shared" si="1"/>
        <v>100</v>
      </c>
      <c r="V16" s="1503" t="s">
        <v>8</v>
      </c>
      <c r="W16" s="1504">
        <f t="shared" si="2"/>
        <v>100</v>
      </c>
      <c r="X16" s="1505"/>
      <c r="Y16" s="3452"/>
      <c r="Z16" s="1133">
        <f t="shared" si="7"/>
        <v>111</v>
      </c>
      <c r="AA16" s="1506">
        <f t="shared" si="3"/>
        <v>1</v>
      </c>
      <c r="AB16" s="1506">
        <f t="shared" si="4"/>
        <v>1</v>
      </c>
      <c r="AC16" s="1506">
        <f t="shared" si="5"/>
        <v>1</v>
      </c>
    </row>
    <row r="17" spans="1:29" ht="15">
      <c r="A17" s="2627" t="s">
        <v>2730</v>
      </c>
      <c r="B17" s="164" t="s">
        <v>592</v>
      </c>
      <c r="C17" s="910">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2" t="s">
        <v>534</v>
      </c>
      <c r="Q17" s="1507" t="str">
        <f t="shared" si="6"/>
        <v>产业集聚程度</v>
      </c>
      <c r="R17" s="1508" t="s">
        <v>8</v>
      </c>
      <c r="S17" s="1509">
        <f t="shared" si="0"/>
        <v>100</v>
      </c>
      <c r="T17" s="1508" t="s">
        <v>8</v>
      </c>
      <c r="U17" s="1509">
        <f t="shared" si="1"/>
        <v>100</v>
      </c>
      <c r="V17" s="1508" t="s">
        <v>8</v>
      </c>
      <c r="W17" s="1509">
        <f t="shared" si="2"/>
        <v>100</v>
      </c>
      <c r="X17" s="1502"/>
      <c r="Y17" s="3542"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43"/>
      <c r="Q18" s="1507"/>
      <c r="R18" s="1508"/>
      <c r="S18" s="1509"/>
      <c r="T18" s="1508"/>
      <c r="U18" s="1509"/>
      <c r="V18" s="1508"/>
      <c r="W18" s="1509"/>
      <c r="X18" s="1502"/>
      <c r="Y18" s="3543"/>
      <c r="Z18" s="1510"/>
      <c r="AA18" s="1511">
        <v>1</v>
      </c>
      <c r="AB18" s="1511">
        <v>1</v>
      </c>
      <c r="AC18" s="1511">
        <v>1</v>
      </c>
    </row>
    <row r="19" spans="1:29" ht="15">
      <c r="A19" s="526"/>
      <c r="B19" s="860" t="s">
        <v>537</v>
      </c>
      <c r="C19" s="861">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3"/>
      <c r="Q19" s="1507" t="str">
        <f>B19</f>
        <v>交通便捷度</v>
      </c>
      <c r="R19" s="1508" t="s">
        <v>8</v>
      </c>
      <c r="S19" s="1509">
        <f>F19</f>
        <v>100</v>
      </c>
      <c r="T19" s="1508" t="s">
        <v>8</v>
      </c>
      <c r="U19" s="1509">
        <f>H19</f>
        <v>100</v>
      </c>
      <c r="V19" s="1508" t="s">
        <v>8</v>
      </c>
      <c r="W19" s="1509">
        <f>J19</f>
        <v>100</v>
      </c>
      <c r="X19" s="1502"/>
      <c r="Y19" s="3543"/>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43"/>
      <c r="Q20" s="1507"/>
      <c r="R20" s="1508"/>
      <c r="S20" s="1509"/>
      <c r="T20" s="1508"/>
      <c r="U20" s="1509"/>
      <c r="V20" s="1508"/>
      <c r="W20" s="1509"/>
      <c r="X20" s="1502"/>
      <c r="Y20" s="3543"/>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3"/>
      <c r="Q21" s="1507" t="str">
        <f t="shared" ref="Q21:Q35" si="8">B21</f>
        <v>区域土地利用方向</v>
      </c>
      <c r="R21" s="1508" t="s">
        <v>8</v>
      </c>
      <c r="S21" s="1509">
        <f>F21</f>
        <v>100</v>
      </c>
      <c r="T21" s="1508" t="s">
        <v>8</v>
      </c>
      <c r="U21" s="1509">
        <f>H21</f>
        <v>100</v>
      </c>
      <c r="V21" s="1508" t="s">
        <v>8</v>
      </c>
      <c r="W21" s="1509">
        <f>J21</f>
        <v>100</v>
      </c>
      <c r="X21" s="1502"/>
      <c r="Y21" s="3543"/>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43"/>
      <c r="Q22" s="1507"/>
      <c r="R22" s="1508"/>
      <c r="S22" s="1509"/>
      <c r="T22" s="1508"/>
      <c r="U22" s="1509"/>
      <c r="V22" s="1508"/>
      <c r="W22" s="1509"/>
      <c r="X22" s="1502"/>
      <c r="Y22" s="3543"/>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3"/>
      <c r="Q23" s="1507" t="str">
        <f t="shared" si="8"/>
        <v>环境状况</v>
      </c>
      <c r="R23" s="1508" t="s">
        <v>8</v>
      </c>
      <c r="S23" s="1509">
        <f>F23</f>
        <v>100</v>
      </c>
      <c r="T23" s="1508" t="s">
        <v>8</v>
      </c>
      <c r="U23" s="1509">
        <f>H23</f>
        <v>100</v>
      </c>
      <c r="V23" s="1508" t="s">
        <v>8</v>
      </c>
      <c r="W23" s="1509">
        <f>J23</f>
        <v>100</v>
      </c>
      <c r="X23" s="1502"/>
      <c r="Y23" s="3543"/>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43"/>
      <c r="Q24" s="1507"/>
      <c r="R24" s="1508"/>
      <c r="S24" s="1509"/>
      <c r="T24" s="1508"/>
      <c r="U24" s="1509"/>
      <c r="V24" s="1508"/>
      <c r="W24" s="1509"/>
      <c r="X24" s="1502"/>
      <c r="Y24" s="3543"/>
      <c r="Z24" s="1510"/>
      <c r="AA24" s="1511">
        <v>1</v>
      </c>
      <c r="AB24" s="1511">
        <v>1</v>
      </c>
      <c r="AC24" s="1511">
        <v>1</v>
      </c>
    </row>
    <row r="25" spans="1:29" s="1203" customFormat="1" ht="15">
      <c r="A25" s="571"/>
      <c r="B25" s="2437" t="s">
        <v>2525</v>
      </c>
      <c r="C25" s="861">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3"/>
      <c r="Q25" s="1134" t="str">
        <f t="shared" si="8"/>
        <v>公共配套设施</v>
      </c>
      <c r="R25" s="1503" t="s">
        <v>8</v>
      </c>
      <c r="S25" s="1504">
        <f>F25</f>
        <v>100</v>
      </c>
      <c r="T25" s="1503" t="s">
        <v>8</v>
      </c>
      <c r="U25" s="1504">
        <f>H25</f>
        <v>100</v>
      </c>
      <c r="V25" s="1503" t="s">
        <v>8</v>
      </c>
      <c r="W25" s="1504">
        <f>J25</f>
        <v>100</v>
      </c>
      <c r="X25" s="1505"/>
      <c r="Y25" s="3543"/>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43"/>
      <c r="Q26" s="1134"/>
      <c r="R26" s="1503"/>
      <c r="S26" s="1504"/>
      <c r="T26" s="1503"/>
      <c r="U26" s="1504"/>
      <c r="V26" s="1503"/>
      <c r="W26" s="1504"/>
      <c r="X26" s="1505"/>
      <c r="Y26" s="3543"/>
      <c r="Z26" s="1133"/>
      <c r="AA26" s="1506">
        <v>1</v>
      </c>
      <c r="AB26" s="1506">
        <v>1</v>
      </c>
      <c r="AC26" s="1506">
        <v>1</v>
      </c>
    </row>
    <row r="27" spans="1:29" s="1203" customFormat="1" ht="15">
      <c r="A27" s="571"/>
      <c r="B27" s="2437" t="s">
        <v>2526</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3"/>
      <c r="Q27" s="2428" t="str">
        <f t="shared" ref="Q27" si="9">B27</f>
        <v>基础设施水平</v>
      </c>
      <c r="R27" s="1503" t="s">
        <v>8</v>
      </c>
      <c r="S27" s="1504">
        <f>F27</f>
        <v>100</v>
      </c>
      <c r="T27" s="1503" t="s">
        <v>8</v>
      </c>
      <c r="U27" s="1504">
        <f>H27</f>
        <v>100</v>
      </c>
      <c r="V27" s="1503" t="s">
        <v>8</v>
      </c>
      <c r="W27" s="1504">
        <f>J27</f>
        <v>100</v>
      </c>
      <c r="X27" s="1505"/>
      <c r="Y27" s="3543"/>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43"/>
      <c r="Q28" s="2428"/>
      <c r="R28" s="1503"/>
      <c r="S28" s="1504"/>
      <c r="T28" s="1503"/>
      <c r="U28" s="1504"/>
      <c r="V28" s="1503"/>
      <c r="W28" s="1504"/>
      <c r="X28" s="1505"/>
      <c r="Y28" s="3543"/>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3"/>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43"/>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3"/>
      <c r="Q30" s="1507" t="str">
        <f t="shared" si="8"/>
        <v>毗邻道路的类型与等级</v>
      </c>
      <c r="R30" s="1508" t="s">
        <v>8</v>
      </c>
      <c r="S30" s="1509">
        <f t="shared" si="10"/>
        <v>100</v>
      </c>
      <c r="T30" s="1508" t="s">
        <v>8</v>
      </c>
      <c r="U30" s="1509">
        <f t="shared" si="11"/>
        <v>100</v>
      </c>
      <c r="V30" s="1508" t="s">
        <v>8</v>
      </c>
      <c r="W30" s="1509">
        <f t="shared" si="12"/>
        <v>100</v>
      </c>
      <c r="X30" s="1502"/>
      <c r="Y30" s="3543"/>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43"/>
      <c r="Q31" s="1507"/>
      <c r="R31" s="1508"/>
      <c r="S31" s="1509"/>
      <c r="T31" s="1508"/>
      <c r="U31" s="1509"/>
      <c r="V31" s="1508"/>
      <c r="W31" s="1509"/>
      <c r="X31" s="1502"/>
      <c r="Y31" s="3543"/>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3"/>
      <c r="Q32" s="1507" t="str">
        <f t="shared" si="8"/>
        <v>土地级别</v>
      </c>
      <c r="R32" s="1508" t="s">
        <v>8</v>
      </c>
      <c r="S32" s="1509">
        <f t="shared" si="10"/>
        <v>100</v>
      </c>
      <c r="T32" s="1508" t="s">
        <v>8</v>
      </c>
      <c r="U32" s="1509">
        <f t="shared" si="11"/>
        <v>100</v>
      </c>
      <c r="V32" s="1508" t="s">
        <v>8</v>
      </c>
      <c r="W32" s="1509">
        <f t="shared" si="12"/>
        <v>100</v>
      </c>
      <c r="X32" s="1502"/>
      <c r="Y32" s="3543"/>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3"/>
      <c r="Q33" s="1507">
        <f t="shared" si="8"/>
        <v>111</v>
      </c>
      <c r="R33" s="1508" t="s">
        <v>8</v>
      </c>
      <c r="S33" s="1509">
        <f t="shared" si="10"/>
        <v>100</v>
      </c>
      <c r="T33" s="1508" t="s">
        <v>8</v>
      </c>
      <c r="U33" s="1509">
        <f t="shared" si="11"/>
        <v>100</v>
      </c>
      <c r="V33" s="1508" t="s">
        <v>8</v>
      </c>
      <c r="W33" s="1509">
        <f t="shared" si="12"/>
        <v>100</v>
      </c>
      <c r="X33" s="1502"/>
      <c r="Y33" s="3543"/>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4" t="s">
        <v>544</v>
      </c>
      <c r="Q34" s="1507">
        <f t="shared" si="8"/>
        <v>111</v>
      </c>
      <c r="R34" s="1508" t="s">
        <v>8</v>
      </c>
      <c r="S34" s="1509">
        <f t="shared" si="10"/>
        <v>100</v>
      </c>
      <c r="T34" s="1508" t="s">
        <v>8</v>
      </c>
      <c r="U34" s="1509">
        <f t="shared" si="11"/>
        <v>100</v>
      </c>
      <c r="V34" s="1508" t="s">
        <v>8</v>
      </c>
      <c r="W34" s="1509">
        <f t="shared" si="12"/>
        <v>100</v>
      </c>
      <c r="X34" s="1502"/>
      <c r="Y34" s="3545"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5"/>
      <c r="Q35" s="1507">
        <f t="shared" si="8"/>
        <v>111</v>
      </c>
      <c r="R35" s="1512" t="s">
        <v>8</v>
      </c>
      <c r="S35" s="1513">
        <f t="shared" si="10"/>
        <v>100</v>
      </c>
      <c r="T35" s="1512" t="s">
        <v>8</v>
      </c>
      <c r="U35" s="1513">
        <f t="shared" si="11"/>
        <v>100</v>
      </c>
      <c r="V35" s="1512" t="s">
        <v>8</v>
      </c>
      <c r="W35" s="1513">
        <f t="shared" si="12"/>
        <v>100</v>
      </c>
      <c r="X35" s="1514"/>
      <c r="Y35" s="3545"/>
      <c r="Z35" s="1515">
        <f t="shared" si="13"/>
        <v>111</v>
      </c>
      <c r="AA35" s="1511">
        <f t="shared" si="3"/>
        <v>1</v>
      </c>
      <c r="AB35" s="1511">
        <f t="shared" si="4"/>
        <v>1</v>
      </c>
      <c r="AC35" s="1511">
        <f t="shared" si="5"/>
        <v>1</v>
      </c>
    </row>
    <row r="36" spans="1:29" ht="15">
      <c r="A36" s="2624" t="s">
        <v>2731</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5"/>
      <c r="Q36" s="1507" t="str">
        <f>B36</f>
        <v>宗地面积</v>
      </c>
      <c r="R36" s="1508" t="s">
        <v>8</v>
      </c>
      <c r="S36" s="1509" t="e">
        <f t="shared" si="10"/>
        <v>#N/A</v>
      </c>
      <c r="T36" s="1508" t="s">
        <v>8</v>
      </c>
      <c r="U36" s="1509" t="e">
        <f t="shared" si="11"/>
        <v>#N/A</v>
      </c>
      <c r="V36" s="1508" t="s">
        <v>8</v>
      </c>
      <c r="W36" s="1509" t="e">
        <f t="shared" si="12"/>
        <v>#N/A</v>
      </c>
      <c r="X36" s="1502"/>
      <c r="Y36" s="3545"/>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5"/>
      <c r="Q37" s="1507" t="str">
        <f t="shared" ref="Q37:Q42" si="14">B37</f>
        <v>宗地形状</v>
      </c>
      <c r="R37" s="1508" t="s">
        <v>8</v>
      </c>
      <c r="S37" s="1509">
        <f t="shared" si="10"/>
        <v>100</v>
      </c>
      <c r="T37" s="1508" t="s">
        <v>8</v>
      </c>
      <c r="U37" s="1509">
        <f t="shared" si="11"/>
        <v>100</v>
      </c>
      <c r="V37" s="1508" t="s">
        <v>8</v>
      </c>
      <c r="W37" s="1509">
        <f t="shared" si="12"/>
        <v>100</v>
      </c>
      <c r="X37" s="1502"/>
      <c r="Y37" s="3545"/>
      <c r="Z37" s="1510" t="str">
        <f t="shared" si="13"/>
        <v>宗地形状</v>
      </c>
      <c r="AA37" s="1511">
        <f t="shared" si="3"/>
        <v>1</v>
      </c>
      <c r="AB37" s="1511">
        <f t="shared" si="4"/>
        <v>1</v>
      </c>
      <c r="AC37" s="1511">
        <f t="shared" si="5"/>
        <v>1</v>
      </c>
    </row>
    <row r="38" spans="1:29" s="1203" customFormat="1" ht="15">
      <c r="A38" s="594"/>
      <c r="B38" s="1809" t="s">
        <v>2404</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5"/>
      <c r="Q38" s="1507" t="str">
        <f t="shared" si="14"/>
        <v>宗地开发程度</v>
      </c>
      <c r="R38" s="1503" t="s">
        <v>8</v>
      </c>
      <c r="S38" s="1504">
        <f t="shared" si="10"/>
        <v>100</v>
      </c>
      <c r="T38" s="1503" t="s">
        <v>8</v>
      </c>
      <c r="U38" s="1504">
        <f t="shared" si="11"/>
        <v>100</v>
      </c>
      <c r="V38" s="1503" t="s">
        <v>8</v>
      </c>
      <c r="W38" s="1504">
        <f t="shared" si="12"/>
        <v>100</v>
      </c>
      <c r="X38" s="1505"/>
      <c r="Y38" s="3545"/>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5" t="s">
        <v>595</v>
      </c>
      <c r="Q39" s="1507" t="str">
        <f t="shared" si="14"/>
        <v>工程地质条件</v>
      </c>
      <c r="R39" s="1508" t="s">
        <v>8</v>
      </c>
      <c r="S39" s="1509">
        <f t="shared" si="10"/>
        <v>100</v>
      </c>
      <c r="T39" s="1508" t="s">
        <v>8</v>
      </c>
      <c r="U39" s="1509">
        <f t="shared" si="11"/>
        <v>100</v>
      </c>
      <c r="V39" s="1508" t="s">
        <v>8</v>
      </c>
      <c r="W39" s="1509">
        <f t="shared" si="12"/>
        <v>100</v>
      </c>
      <c r="X39" s="1502"/>
      <c r="Y39" s="3545"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5"/>
      <c r="Q40" s="1507">
        <f t="shared" si="14"/>
        <v>111</v>
      </c>
      <c r="R40" s="1508" t="s">
        <v>8</v>
      </c>
      <c r="S40" s="1509">
        <f t="shared" si="10"/>
        <v>100</v>
      </c>
      <c r="T40" s="1508" t="s">
        <v>8</v>
      </c>
      <c r="U40" s="1509">
        <f t="shared" si="11"/>
        <v>100</v>
      </c>
      <c r="V40" s="1508" t="s">
        <v>8</v>
      </c>
      <c r="W40" s="1509">
        <f t="shared" si="12"/>
        <v>100</v>
      </c>
      <c r="X40" s="1502"/>
      <c r="Y40" s="3545"/>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5"/>
      <c r="Q41" s="1507">
        <f t="shared" si="14"/>
        <v>111</v>
      </c>
      <c r="R41" s="1508" t="s">
        <v>8</v>
      </c>
      <c r="S41" s="1509">
        <f t="shared" si="10"/>
        <v>100</v>
      </c>
      <c r="T41" s="1508" t="s">
        <v>8</v>
      </c>
      <c r="U41" s="1509">
        <f t="shared" si="11"/>
        <v>100</v>
      </c>
      <c r="V41" s="1508" t="s">
        <v>8</v>
      </c>
      <c r="W41" s="1509">
        <f t="shared" si="12"/>
        <v>100</v>
      </c>
      <c r="X41" s="1502"/>
      <c r="Y41" s="3545"/>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5"/>
      <c r="Q42" s="1507">
        <f t="shared" si="14"/>
        <v>111</v>
      </c>
      <c r="R42" s="1512" t="s">
        <v>8</v>
      </c>
      <c r="S42" s="1513">
        <f t="shared" si="10"/>
        <v>100</v>
      </c>
      <c r="T42" s="1512" t="s">
        <v>8</v>
      </c>
      <c r="U42" s="1513">
        <f t="shared" si="11"/>
        <v>100</v>
      </c>
      <c r="V42" s="1512" t="s">
        <v>8</v>
      </c>
      <c r="W42" s="1513">
        <f t="shared" si="12"/>
        <v>100</v>
      </c>
      <c r="X42" s="1514"/>
      <c r="Y42" s="3545"/>
      <c r="Z42" s="1515">
        <f t="shared" si="13"/>
        <v>111</v>
      </c>
      <c r="AA42" s="1511">
        <f t="shared" si="3"/>
        <v>1</v>
      </c>
      <c r="AB42" s="1511">
        <f t="shared" si="4"/>
        <v>1</v>
      </c>
      <c r="AC42" s="1511">
        <f t="shared" si="5"/>
        <v>1</v>
      </c>
    </row>
    <row r="43" spans="1:29" ht="15">
      <c r="A43" s="601" t="s">
        <v>550</v>
      </c>
      <c r="B43" s="602" t="s">
        <v>2885</v>
      </c>
      <c r="C43" s="603" t="s">
        <v>1</v>
      </c>
      <c r="D43" s="604"/>
      <c r="E43" s="605"/>
      <c r="F43" s="606"/>
      <c r="G43" s="607"/>
      <c r="H43" s="608"/>
      <c r="I43" s="605"/>
      <c r="J43" s="608"/>
      <c r="K43" s="1294"/>
      <c r="L43" s="2026"/>
      <c r="M43" s="2016"/>
      <c r="N43" s="2016"/>
      <c r="O43" s="2027"/>
      <c r="P43" s="3506" t="str">
        <f>A43</f>
        <v>成交单价</v>
      </c>
      <c r="Q43" s="3506"/>
      <c r="R43" s="3507">
        <f>E43</f>
        <v>0</v>
      </c>
      <c r="S43" s="3507"/>
      <c r="T43" s="3507">
        <f>G43</f>
        <v>0</v>
      </c>
      <c r="U43" s="3507"/>
      <c r="V43" s="3507">
        <f>I43</f>
        <v>0</v>
      </c>
      <c r="W43" s="3507"/>
      <c r="X43" s="1497"/>
      <c r="Y43" s="1516"/>
      <c r="Z43" s="1497"/>
      <c r="AA43" s="1497"/>
      <c r="AB43" s="1497"/>
      <c r="AC43" s="1497"/>
    </row>
    <row r="44" spans="1:29" ht="15.75" thickBot="1">
      <c r="A44" s="609" t="s">
        <v>2669</v>
      </c>
      <c r="B44" s="610"/>
      <c r="C44" s="611" t="e">
        <f>R45</f>
        <v>#DIV/0!</v>
      </c>
      <c r="D44" s="3014" t="s">
        <v>2954</v>
      </c>
      <c r="E44" s="611" t="e">
        <f>R44</f>
        <v>#DIV/0!</v>
      </c>
      <c r="F44" s="3015"/>
      <c r="G44" s="612" t="e">
        <f>T44</f>
        <v>#DIV/0!</v>
      </c>
      <c r="H44" s="3015"/>
      <c r="I44" s="611" t="e">
        <f>V44</f>
        <v>#DIV/0!</v>
      </c>
      <c r="J44" s="3015"/>
      <c r="K44" s="3016">
        <f>F44+H44+J44</f>
        <v>0</v>
      </c>
      <c r="L44" s="2026"/>
      <c r="M44" s="2016"/>
      <c r="N44" s="2016"/>
      <c r="O44" s="2027"/>
      <c r="P44" s="3506" t="str">
        <f>A44</f>
        <v>比较价格（元/平方米）</v>
      </c>
      <c r="Q44" s="3506"/>
      <c r="R44" s="3508" t="e">
        <f>ROUND(PRODUCT(R43,AA9:AA42),0)</f>
        <v>#DIV/0!</v>
      </c>
      <c r="S44" s="3508"/>
      <c r="T44" s="3508" t="e">
        <f>ROUND(PRODUCT(T43,AB9:AB42),0)</f>
        <v>#DIV/0!</v>
      </c>
      <c r="U44" s="3508"/>
      <c r="V44" s="3508" t="e">
        <f>ROUND(PRODUCT(V43,AC9:AC42),0)</f>
        <v>#DIV/0!</v>
      </c>
      <c r="W44" s="3508"/>
      <c r="X44" s="1497"/>
      <c r="Y44" s="1497"/>
      <c r="Z44" s="1497"/>
      <c r="AA44" s="1497"/>
      <c r="AB44" s="1497"/>
      <c r="AC44" s="1497"/>
    </row>
    <row r="45" spans="1:29" ht="15.75" thickBot="1">
      <c r="A45" s="613" t="s">
        <v>2886</v>
      </c>
      <c r="B45" s="614"/>
      <c r="C45" s="615" t="e">
        <f>R45</f>
        <v>#DIV/0!</v>
      </c>
      <c r="D45" s="615"/>
      <c r="E45" s="615"/>
      <c r="F45" s="615"/>
      <c r="G45" s="615"/>
      <c r="H45" s="615"/>
      <c r="I45" s="615"/>
      <c r="J45" s="615"/>
      <c r="K45" s="1295"/>
      <c r="L45" s="2026"/>
      <c r="M45" s="2016"/>
      <c r="N45" s="2016"/>
      <c r="O45" s="2027"/>
      <c r="P45" s="3503" t="str">
        <f>A45</f>
        <v>估价对象XX用房的比较价格（楼面单价，元/平方米）</v>
      </c>
      <c r="Q45" s="3504"/>
      <c r="R45" s="3557" t="e">
        <f>ROUND(IF(D44="简单平均",AVERAGE(R44:W44),R44*F44+T44*H44+V44*J44),0)</f>
        <v>#DIV/0!</v>
      </c>
      <c r="S45" s="3557"/>
      <c r="T45" s="3557"/>
      <c r="U45" s="3557"/>
      <c r="V45" s="3557"/>
      <c r="W45" s="3557"/>
      <c r="X45" s="1497"/>
      <c r="Y45" s="1497"/>
      <c r="Z45" s="1497"/>
      <c r="AA45" s="1497"/>
      <c r="AB45" s="1497"/>
      <c r="AC45" s="1497"/>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2278</v>
      </c>
      <c r="E52" s="623" t="s">
        <v>556</v>
      </c>
      <c r="F52" s="1865" t="s">
        <v>557</v>
      </c>
      <c r="G52" s="3552" t="s">
        <v>2269</v>
      </c>
      <c r="H52" s="3553"/>
      <c r="I52" s="1866" t="s">
        <v>1934</v>
      </c>
      <c r="J52" s="1494" t="str">
        <f>项目基本情况!F41</f>
        <v>湖北省黄石市</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37819.53</v>
      </c>
      <c r="F53" s="1864" t="e">
        <f t="shared" ref="F53:F62" si="15">ROUND(B53*E53/10000,0)</f>
        <v>#DIV/0!</v>
      </c>
      <c r="G53" s="3554"/>
      <c r="H53" s="3555"/>
      <c r="I53" s="1867">
        <v>1</v>
      </c>
      <c r="J53" s="1495">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56" t="s">
        <v>2270</v>
      </c>
      <c r="H54" s="1868">
        <f>项目基本情况!B43</f>
        <v>0</v>
      </c>
      <c r="I54" s="1867">
        <f>SUMIF(修正!$A$45:$A$56,H54,修正!B45:B56)</f>
        <v>0</v>
      </c>
      <c r="J54" s="1496"/>
      <c r="K54" s="3216"/>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56"/>
      <c r="H55" s="1869">
        <f>项目基本情况!B43</f>
        <v>0</v>
      </c>
      <c r="I55" s="1867">
        <f>SUMIF(修正!$A$45:$A$56,H55,修正!C45:C56)</f>
        <v>0</v>
      </c>
      <c r="J55" s="1496"/>
      <c r="K55" s="3216"/>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56"/>
      <c r="H56" s="1869">
        <f>项目基本情况!B43</f>
        <v>0</v>
      </c>
      <c r="I56" s="1867">
        <f>SUMIF(修正!$A$45:$A$56,H56,修正!D45:D56)</f>
        <v>0</v>
      </c>
      <c r="J56" s="1496"/>
      <c r="K56" s="3216"/>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56"/>
      <c r="H57" s="1869">
        <f>项目基本情况!B43</f>
        <v>0</v>
      </c>
      <c r="I57" s="1867">
        <f>SUMIF(修正!$A$45:$A$56,H57,修正!E45:E56)</f>
        <v>0</v>
      </c>
      <c r="J57" s="1496"/>
      <c r="K57" s="3216"/>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2311</v>
      </c>
      <c r="B58" s="630" t="e">
        <f t="shared" si="17"/>
        <v>#DIV/0!</v>
      </c>
      <c r="C58" s="372">
        <f t="shared" si="16"/>
        <v>0</v>
      </c>
      <c r="D58" s="2109">
        <v>0.25</v>
      </c>
      <c r="E58" s="633">
        <f>'数据-汇总表'!E11</f>
        <v>0</v>
      </c>
      <c r="F58" s="1864" t="e">
        <f t="shared" si="15"/>
        <v>#DIV/0!</v>
      </c>
      <c r="G58" s="1870" t="s">
        <v>2271</v>
      </c>
      <c r="H58" s="1869">
        <f>项目基本情况!C43</f>
        <v>0</v>
      </c>
      <c r="I58" s="1867">
        <f>SUMIF(修正!$A$45:$A$56,H58,修正!F45:F56)</f>
        <v>0</v>
      </c>
      <c r="J58" s="1496"/>
      <c r="K58" s="3216"/>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6"/>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6"/>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2270</v>
      </c>
      <c r="H61" s="1869">
        <f>项目基本情况!B43</f>
        <v>0</v>
      </c>
      <c r="I61" s="1867">
        <f>SUMIF(修正!$A$45:$A$56,H61,修正!H45:H56)</f>
        <v>0</v>
      </c>
      <c r="J61" s="1496"/>
      <c r="K61" s="3216"/>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2271</v>
      </c>
      <c r="H62" s="1872">
        <f>项目基本情况!C43</f>
        <v>0</v>
      </c>
      <c r="I62" s="1867">
        <f>SUMIF(修正!$A$45:$A$56,H62,修正!H45:H56)</f>
        <v>0</v>
      </c>
      <c r="J62" s="1496"/>
      <c r="K62" s="3216"/>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2279</v>
      </c>
      <c r="E63" s="635">
        <f>IF(B43="楼面地价",SUM(E53:E62),'数据-汇总表'!D3)</f>
        <v>12606.51</v>
      </c>
      <c r="F63" s="636"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2020-12-1</v>
      </c>
      <c r="D65" s="2516">
        <f>EDATE(C65,-3)</f>
        <v>44075</v>
      </c>
      <c r="E65" s="2516">
        <f t="shared" ref="E65:N65" si="18">EDATE(D65,-3)</f>
        <v>43983</v>
      </c>
      <c r="F65" s="2516">
        <f t="shared" si="18"/>
        <v>43891</v>
      </c>
      <c r="G65" s="2516">
        <f t="shared" si="18"/>
        <v>43800</v>
      </c>
      <c r="H65" s="2516">
        <f t="shared" si="18"/>
        <v>43709</v>
      </c>
      <c r="I65" s="2516">
        <f t="shared" si="18"/>
        <v>43617</v>
      </c>
      <c r="J65" s="2516">
        <f t="shared" si="18"/>
        <v>43525</v>
      </c>
      <c r="K65" s="2516">
        <f t="shared" si="18"/>
        <v>43435</v>
      </c>
      <c r="L65" s="2516">
        <f t="shared" si="18"/>
        <v>43344</v>
      </c>
      <c r="M65" s="2516">
        <f t="shared" si="18"/>
        <v>43252</v>
      </c>
      <c r="N65" s="2516">
        <f t="shared" si="18"/>
        <v>43160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2510</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2625</v>
      </c>
      <c r="B68" s="473" t="str">
        <f>"北京市平均增长率"&amp;TEXT(基准地价!P24,"0.00%")</f>
        <v>北京市平均增长率1.23%</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5"/>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5"/>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6"/>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7"/>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6"/>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7"/>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6"/>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8"/>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7"/>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8"/>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8"/>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8"/>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8"/>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6"/>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5"/>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5"/>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2525</v>
      </c>
      <c r="C93" s="695" t="s">
        <v>573</v>
      </c>
      <c r="D93" s="695" t="s">
        <v>574</v>
      </c>
      <c r="E93" s="695" t="s">
        <v>575</v>
      </c>
      <c r="F93" s="695" t="s">
        <v>576</v>
      </c>
      <c r="G93" s="695" t="s">
        <v>577</v>
      </c>
      <c r="H93" s="705"/>
      <c r="I93" s="705"/>
      <c r="J93" s="705"/>
      <c r="K93" s="705"/>
      <c r="L93" s="706"/>
      <c r="M93" s="707"/>
      <c r="N93" s="3228"/>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2527</v>
      </c>
      <c r="C95" s="2442" t="s">
        <v>2528</v>
      </c>
      <c r="D95" s="2442" t="s">
        <v>2529</v>
      </c>
      <c r="E95" s="2442" t="s">
        <v>2530</v>
      </c>
      <c r="F95" s="2442" t="s">
        <v>2531</v>
      </c>
      <c r="G95" s="2442" t="s">
        <v>2532</v>
      </c>
      <c r="H95" s="705"/>
      <c r="I95" s="705"/>
      <c r="J95" s="705"/>
      <c r="K95" s="705"/>
      <c r="L95" s="705"/>
      <c r="M95" s="707"/>
      <c r="N95" s="3228"/>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28"/>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6"/>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6"/>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6"/>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7"/>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6"/>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7"/>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8"/>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7"/>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6"/>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7"/>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6"/>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2405</v>
      </c>
      <c r="C114" s="1327"/>
      <c r="D114" s="1327"/>
      <c r="E114" s="1327"/>
      <c r="F114" s="1327"/>
      <c r="G114" s="1327"/>
      <c r="H114" s="710"/>
      <c r="I114" s="710"/>
      <c r="J114" s="710"/>
      <c r="K114" s="711"/>
      <c r="L114" s="712"/>
      <c r="M114" s="713"/>
      <c r="N114" s="3228"/>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6"/>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6"/>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7"/>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6"/>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7"/>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8"/>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2406</v>
      </c>
      <c r="D1" s="1461">
        <f>SUM(D29:D30,D33:D39)</f>
        <v>0</v>
      </c>
      <c r="E1" s="1355" t="s">
        <v>2407</v>
      </c>
      <c r="F1" s="2307"/>
      <c r="G1" s="1350"/>
      <c r="H1" s="1350"/>
      <c r="I1" s="1350"/>
      <c r="J1" s="1350"/>
      <c r="K1" s="2070"/>
      <c r="L1" s="1796" t="s">
        <v>2224</v>
      </c>
      <c r="M1" s="1797">
        <f>SUMPRODUCT((区片价!B5:B9=I2)*(区片价!C3:F3=E2)*(区片价!C5:F9))</f>
        <v>0</v>
      </c>
      <c r="N1" s="1798">
        <f>SUMPRODUCT((因素修正幅度!B5:B9=I2)*(因素修正幅度!C3:F3=E2)*(因素修正幅度!C5:F9))</f>
        <v>0</v>
      </c>
      <c r="O1" s="2070"/>
      <c r="P1" s="2070"/>
      <c r="Q1" s="2070"/>
      <c r="R1" s="2653" t="s">
        <v>2737</v>
      </c>
      <c r="S1" s="2653" t="s">
        <v>2738</v>
      </c>
      <c r="T1" s="2653" t="s">
        <v>2759</v>
      </c>
      <c r="U1" s="2653" t="s">
        <v>2760</v>
      </c>
      <c r="V1" s="2653" t="s">
        <v>2761</v>
      </c>
      <c r="W1" s="2070"/>
      <c r="X1" s="2070"/>
      <c r="Y1" s="2070"/>
      <c r="Z1" s="2070"/>
      <c r="AA1" s="2070"/>
      <c r="AB1" s="2070"/>
      <c r="AC1" s="2071"/>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29"/>
      <c r="L2" s="1799" t="s">
        <v>2225</v>
      </c>
      <c r="M2" s="1800">
        <f>SUMPRODUCT((区片价!B10:B28=I2)*(区片价!C3:F3=E2)*(区片价!C10:F28))</f>
        <v>0</v>
      </c>
      <c r="N2" s="1801">
        <f>SUMPRODUCT((因素修正幅度!B10:B28=I2)*(因素修正幅度!C3:F3=E2)*(因素修正幅度!C10:F28))</f>
        <v>0</v>
      </c>
      <c r="O2" s="3229"/>
      <c r="P2" s="2070"/>
      <c r="Q2" s="2070"/>
      <c r="R2" s="2654">
        <v>1</v>
      </c>
      <c r="S2" s="2654">
        <f>ROUND(IF(G3&gt;1,IF(R2&lt;7,SUMPRODUCT((B93:B98=R2)*(C92:N92=G2)*(C93:N98)),SUMIF(C92:N92,G2,C100:N100)),IF(R2&lt;7,SUMPRODUCT((B102:B107=R2)*(C92:N92=G2)*(C102:N107)),SUMIF(C92:N92,G2,C109:N109))),4)</f>
        <v>0</v>
      </c>
      <c r="T2" s="2654" t="e">
        <f>ROUND($C$5*$C$18*$C$19*$C$20*S2*$C$24,0)</f>
        <v>#DIV/0!</v>
      </c>
      <c r="U2" s="2643"/>
      <c r="V2" s="2654" t="e">
        <f>ROUND(T2*U2/10000,0)</f>
        <v>#DIV/0!</v>
      </c>
      <c r="W2" s="2070"/>
      <c r="X2" s="2070"/>
      <c r="Y2" s="2070"/>
      <c r="Z2" s="2070"/>
      <c r="AA2" s="2070"/>
      <c r="AB2" s="2070"/>
      <c r="AC2" s="2071"/>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29"/>
      <c r="L3" s="1799" t="s">
        <v>2226</v>
      </c>
      <c r="M3" s="1800">
        <f>SUMPRODUCT((区片价!B29:B48=I2)*(区片价!C3:F3=E2)*(区片价!C29:F48))</f>
        <v>0</v>
      </c>
      <c r="N3" s="1801">
        <f>SUMPRODUCT((因素修正幅度!B29:B48=I2)*(因素修正幅度!C3:F3=E2)*(因素修正幅度!C29:F48))</f>
        <v>0</v>
      </c>
      <c r="O3" s="3229"/>
      <c r="P3" s="2070"/>
      <c r="Q3" s="2070"/>
      <c r="R3" s="2654">
        <v>2</v>
      </c>
      <c r="S3" s="2654">
        <f>ROUND(IF(G3&gt;1,IF(R3&lt;7,SUMPRODUCT((B93:B98=R3)*(C92:N92=G2)*(C93:N98)),SUMIF(C92:N92,G2,C100:N100)),IF(R3&lt;7,SUMPRODUCT((B102:B107=R3)*(C92:N92=G2)*(C102:N107)),SUMIF(C92:N92,G2,C109:N109))),4)</f>
        <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2265</v>
      </c>
      <c r="B4" s="2308" t="e">
        <f>ROUND(B2*10000/F1,0)</f>
        <v>#DIV/0!</v>
      </c>
      <c r="C4" s="1808" t="s">
        <v>2240</v>
      </c>
      <c r="D4" s="1808" t="e">
        <f>ROUND(B2/(F1/666.67),0)</f>
        <v>#DIV/0!</v>
      </c>
      <c r="E4" s="1808" t="s">
        <v>2241</v>
      </c>
      <c r="F4" s="1806"/>
      <c r="G4" s="1806"/>
      <c r="H4" s="1806"/>
      <c r="I4" s="1806"/>
      <c r="J4" s="1807"/>
      <c r="K4" s="3230"/>
      <c r="L4" s="1799" t="s">
        <v>2227</v>
      </c>
      <c r="M4" s="1800">
        <f>SUMPRODUCT((区片价!B49:B75=I2)*(区片价!C3:F3=E2)*(区片价!C49:F75))</f>
        <v>0</v>
      </c>
      <c r="N4" s="1801">
        <f>SUMPRODUCT((因素修正幅度!B49:B75=I2)*(因素修正幅度!C3:F3=E2)*(因素修正幅度!C49:F75))</f>
        <v>0</v>
      </c>
      <c r="O4" s="3230"/>
      <c r="P4" s="2070"/>
      <c r="Q4" s="2070"/>
      <c r="R4" s="2654">
        <v>3</v>
      </c>
      <c r="S4" s="2654">
        <f>ROUND(IF(G3&gt;1,IF(R4&lt;7,SUMPRODUCT((B93:B98=R4)*(C92:N92=G2)*(C93:N98)),SUMIF(C92:N92,G2,C100:N100)),IF(R4&lt;7,SUMPRODUCT((B102:B107=R4)*(C92:N92=G2)*(C102:N107)),SUMIF(C92:N92,G2,C109:N109))),4)</f>
        <v>0</v>
      </c>
      <c r="T4" s="2654" t="e">
        <f t="shared" si="0"/>
        <v>#DIV/0!</v>
      </c>
      <c r="U4" s="2643"/>
      <c r="V4" s="2654" t="e">
        <f t="shared" si="1"/>
        <v>#DIV/0!</v>
      </c>
      <c r="W4" s="2070"/>
      <c r="X4" s="2070"/>
      <c r="Y4" s="2070"/>
      <c r="Z4" s="2070"/>
      <c r="AA4" s="2070"/>
      <c r="AB4" s="2070"/>
      <c r="AC4" s="2071"/>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1"/>
      <c r="L5" s="1799" t="s">
        <v>2228</v>
      </c>
      <c r="M5" s="1800">
        <f>SUMPRODUCT((区片价!B76:B109=I2)*(区片价!C3:F3=E2)*(区片价!C76:F109))</f>
        <v>0</v>
      </c>
      <c r="N5" s="1801">
        <f>SUMPRODUCT((因素修正幅度!B76:B109=I2)*(因素修正幅度!C3:F3=E2)*(因素修正幅度!C76:F109))</f>
        <v>0</v>
      </c>
      <c r="O5" s="3231"/>
      <c r="P5" s="3234"/>
      <c r="Q5" s="2070"/>
      <c r="R5" s="2654">
        <v>4</v>
      </c>
      <c r="S5" s="2654">
        <f>ROUND(IF(G3&gt;1,IF(R5&lt;7,SUMPRODUCT((B93:B98=R5)*(C92:N92=G2)*(C93:N98)),SUMIF(C92:N92,G2,C100:N100)),IF(R5&lt;7,SUMPRODUCT((B102:B107=R5)*(C92:N92=G2)*(C102:N107)),SUMIF(C92:N92,G2,C109:N109))),4)</f>
        <v>0</v>
      </c>
      <c r="T5" s="2654" t="e">
        <f t="shared" si="0"/>
        <v>#DIV/0!</v>
      </c>
      <c r="U5" s="2643"/>
      <c r="V5" s="2654" t="e">
        <f t="shared" si="1"/>
        <v>#DIV/0!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2"/>
      <c r="L6" s="1799" t="s">
        <v>2229</v>
      </c>
      <c r="M6" s="1800">
        <f>SUMPRODUCT((区片价!B110:B157=I2)*(区片价!C3:F3=E2)*(区片价!C110:F157))</f>
        <v>0</v>
      </c>
      <c r="N6" s="1801">
        <f>SUMPRODUCT((因素修正幅度!B110:B157=I2)*(因素修正幅度!C3:F3=E2)*(因素修正幅度!C110:F157))</f>
        <v>0</v>
      </c>
      <c r="O6" s="3232"/>
      <c r="P6" s="3235"/>
      <c r="Q6" s="2070"/>
      <c r="R6" s="2654">
        <v>5</v>
      </c>
      <c r="S6" s="2654">
        <f>ROUND(IF(G3&gt;1,IF(R6&lt;7,SUMPRODUCT((B93:B98=R6)*(C92:N92=G2)*(C93:N98)),SUMIF(C92:N92,G2,C100:N100)),IF(R6&lt;7,SUMPRODUCT((B102:B107=R6)*(C92:N92=G2)*(C102:N107)),SUMIF(C92:N92,G2,C109:N109))),4)</f>
        <v>0</v>
      </c>
      <c r="T6" s="2654" t="e">
        <f t="shared" si="0"/>
        <v>#DIV/0!</v>
      </c>
      <c r="U6" s="2643"/>
      <c r="V6" s="2654" t="e">
        <f t="shared" si="1"/>
        <v>#DIV/0!</v>
      </c>
      <c r="W6" s="2070"/>
      <c r="X6" s="2070"/>
      <c r="Y6" s="2070"/>
      <c r="Z6" s="2070"/>
      <c r="AA6" s="2070"/>
      <c r="AB6" s="2070"/>
      <c r="AC6" s="2072"/>
      <c r="AD6" s="1368"/>
      <c r="AE6" s="1368"/>
      <c r="AF6" s="1368"/>
      <c r="AG6" s="1368"/>
      <c r="AH6" s="1368"/>
      <c r="AI6" s="1368"/>
      <c r="AJ6" s="1369"/>
    </row>
    <row r="7" spans="1:39" ht="24">
      <c r="A7" s="3572" t="str">
        <f>IF(E2="商业",IF(C8="不临58条商业街","",2),"")</f>
        <v/>
      </c>
      <c r="B7" s="1376" t="s">
        <v>923</v>
      </c>
      <c r="C7" s="1030" t="e">
        <f>IF(C8="不临58条商业街",1,ROUND(1+(1.6*E8+1.2*E9+0.8*E10+0.4*E11)*C9,4))</f>
        <v>#DIV/0!</v>
      </c>
      <c r="D7" s="1377" t="s">
        <v>924</v>
      </c>
      <c r="E7" s="1031"/>
      <c r="F7" s="1378"/>
      <c r="G7" s="1379"/>
      <c r="H7" s="1379"/>
      <c r="I7" s="1379"/>
      <c r="J7" s="1380"/>
      <c r="K7" s="3232"/>
      <c r="L7" s="1799" t="s">
        <v>2230</v>
      </c>
      <c r="M7" s="1800">
        <f>SUMPRODUCT((区片价!B158:B205=I2)*(区片价!C3:F3=E2)*(区片价!C158:F205))</f>
        <v>0</v>
      </c>
      <c r="N7" s="1801">
        <f>SUMPRODUCT((因素修正幅度!B158:B205=I2)*(因素修正幅度!C3:F3=E2)*(因素修正幅度!C158:F205))</f>
        <v>0</v>
      </c>
      <c r="O7" s="3232"/>
      <c r="P7" s="3235"/>
      <c r="Q7" s="2070"/>
      <c r="R7" s="2654">
        <v>6</v>
      </c>
      <c r="S7" s="2654">
        <f>ROUND(IF(G3&gt;1,IF(R7&lt;7,SUMPRODUCT((B93:B98=R7)*(C92:N92=G2)*(C93:N98)),SUMIF(C92:N92,G2,C100:N100)),IF(R7&lt;7,SUMPRODUCT((B102:B107=R7)*(C92:N92=G2)*(C102:N107)),SUMIF(C92:N92,G2,C109:N109))),4)</f>
        <v>0</v>
      </c>
      <c r="T7" s="2654" t="e">
        <f t="shared" si="0"/>
        <v>#DIV/0!</v>
      </c>
      <c r="U7" s="2643"/>
      <c r="V7" s="2654" t="e">
        <f t="shared" si="1"/>
        <v>#DIV/0!</v>
      </c>
      <c r="W7" s="2652" t="s">
        <v>2740</v>
      </c>
      <c r="X7" s="2644">
        <f>G2</f>
        <v>0</v>
      </c>
      <c r="Y7" s="2644" t="s">
        <v>2741</v>
      </c>
      <c r="Z7" s="2645">
        <f>G3</f>
        <v>4</v>
      </c>
      <c r="AA7" s="2073"/>
      <c r="AB7" s="2073"/>
      <c r="AC7" s="2074"/>
      <c r="AD7" s="2646"/>
      <c r="AE7" s="2646"/>
      <c r="AF7" s="2646"/>
      <c r="AG7" s="2646"/>
      <c r="AH7" s="2646"/>
      <c r="AI7" s="2646"/>
      <c r="AJ7" s="2647"/>
    </row>
    <row r="8" spans="1:39" ht="15">
      <c r="A8" s="3573"/>
      <c r="B8" s="1363" t="s">
        <v>925</v>
      </c>
      <c r="C8" s="1469"/>
      <c r="D8" s="1032" t="s">
        <v>926</v>
      </c>
      <c r="E8" s="1033" t="e">
        <f>ROUND(C11/E7,4)</f>
        <v>#DIV/0!</v>
      </c>
      <c r="F8" s="1381" t="s">
        <v>927</v>
      </c>
      <c r="G8" s="1382"/>
      <c r="H8" s="1382"/>
      <c r="I8" s="1382"/>
      <c r="J8" s="1383"/>
      <c r="K8" s="3232"/>
      <c r="L8" s="1799" t="s">
        <v>2231</v>
      </c>
      <c r="M8" s="1800">
        <f>SUMPRODUCT((区片价!B206:B244=I2)*(区片价!C3:F3=E2)*(区片价!C206:F244))</f>
        <v>0</v>
      </c>
      <c r="N8" s="1801">
        <f>SUMPRODUCT((因素修正幅度!B206:B244=I2)*(因素修正幅度!C3:F3=E2)*(因素修正幅度!C206:F244))</f>
        <v>0</v>
      </c>
      <c r="O8" s="3232"/>
      <c r="P8" s="2070"/>
      <c r="Q8" s="2070"/>
      <c r="R8" s="2654">
        <v>7</v>
      </c>
      <c r="S8" s="2643"/>
      <c r="T8" s="2654" t="e">
        <f t="shared" si="0"/>
        <v>#DIV/0!</v>
      </c>
      <c r="U8" s="2643"/>
      <c r="V8" s="2654" t="e">
        <f t="shared" si="1"/>
        <v>#DIV/0!</v>
      </c>
      <c r="W8" s="3559" t="s">
        <v>2758</v>
      </c>
      <c r="X8" s="3560"/>
      <c r="Y8" s="1763" t="s">
        <v>2742</v>
      </c>
      <c r="Z8" s="1763" t="s">
        <v>2743</v>
      </c>
      <c r="AA8" s="1763" t="s">
        <v>2744</v>
      </c>
      <c r="AB8" s="1763" t="s">
        <v>2745</v>
      </c>
      <c r="AC8" s="1763" t="s">
        <v>2746</v>
      </c>
      <c r="AD8" s="1763" t="s">
        <v>2747</v>
      </c>
      <c r="AE8" s="1763" t="s">
        <v>2748</v>
      </c>
      <c r="AF8" s="1763" t="s">
        <v>2749</v>
      </c>
      <c r="AG8" s="1763" t="s">
        <v>2750</v>
      </c>
      <c r="AH8" s="1763" t="s">
        <v>2751</v>
      </c>
      <c r="AI8" s="1763" t="s">
        <v>2752</v>
      </c>
      <c r="AJ8" s="1763" t="s">
        <v>2753</v>
      </c>
    </row>
    <row r="9" spans="1:39" ht="15">
      <c r="A9" s="3573"/>
      <c r="B9" s="1363" t="s">
        <v>928</v>
      </c>
      <c r="C9" s="1034">
        <f>SUMIF(修正!C59:C119,C8,修正!E59:E119)</f>
        <v>0</v>
      </c>
      <c r="D9" s="1035" t="s">
        <v>929</v>
      </c>
      <c r="E9" s="1035" t="e">
        <f>ROUND(C11/E7,4)</f>
        <v>#DIV/0!</v>
      </c>
      <c r="F9" s="1381" t="s">
        <v>930</v>
      </c>
      <c r="G9" s="1382"/>
      <c r="H9" s="1382"/>
      <c r="I9" s="1382"/>
      <c r="J9" s="1383"/>
      <c r="K9" s="3232"/>
      <c r="L9" s="1799" t="s">
        <v>2232</v>
      </c>
      <c r="M9" s="1800">
        <f>SUMPRODUCT((区片价!B245:B289=I2)*(区片价!C3:F3=E2)*(区片价!C245:F289))</f>
        <v>0</v>
      </c>
      <c r="N9" s="1801">
        <f>SUMPRODUCT((因素修正幅度!B245:B289=I2)*(因素修正幅度!C3:F3=E2)*(因素修正幅度!C245:F289))</f>
        <v>0</v>
      </c>
      <c r="O9" s="3232"/>
      <c r="P9" s="2070"/>
      <c r="Q9" s="2070"/>
      <c r="R9" s="2654">
        <v>8</v>
      </c>
      <c r="S9" s="2643"/>
      <c r="T9" s="2654" t="e">
        <f t="shared" si="0"/>
        <v>#DIV/0!</v>
      </c>
      <c r="U9" s="2643"/>
      <c r="V9" s="2654" t="e">
        <f t="shared" si="1"/>
        <v>#DIV/0!</v>
      </c>
      <c r="W9" s="3558" t="s">
        <v>2754</v>
      </c>
      <c r="X9" s="2648" t="s">
        <v>2755</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73"/>
      <c r="B10" s="1363" t="s">
        <v>931</v>
      </c>
      <c r="C10" s="1035">
        <f>SUMIF(修正!C59:C119,C8,修正!F59:F119)</f>
        <v>0</v>
      </c>
      <c r="D10" s="1035" t="s">
        <v>932</v>
      </c>
      <c r="E10" s="1035" t="e">
        <f>ROUND(C11/E7,4)</f>
        <v>#DIV/0!</v>
      </c>
      <c r="F10" s="1381" t="s">
        <v>933</v>
      </c>
      <c r="G10" s="1382"/>
      <c r="H10" s="1382"/>
      <c r="I10" s="1382"/>
      <c r="J10" s="1383"/>
      <c r="K10" s="3232"/>
      <c r="L10" s="1799" t="s">
        <v>2233</v>
      </c>
      <c r="M10" s="1800">
        <f>SUMPRODUCT((区片价!B290:B316=I2)*(区片价!C3:F3=E2)*(区片价!C290:F316))</f>
        <v>0</v>
      </c>
      <c r="N10" s="1801">
        <f>SUMPRODUCT((因素修正幅度!B290:B316=I2)*(因素修正幅度!C3:F3=E2)*(因素修正幅度!C290:F316))</f>
        <v>0</v>
      </c>
      <c r="O10" s="3232"/>
      <c r="P10" s="2070"/>
      <c r="Q10" s="2070"/>
      <c r="R10" s="2654">
        <v>9</v>
      </c>
      <c r="S10" s="2643"/>
      <c r="T10" s="2654" t="e">
        <f t="shared" si="0"/>
        <v>#DIV/0!</v>
      </c>
      <c r="U10" s="2643"/>
      <c r="V10" s="2654" t="e">
        <f t="shared" si="1"/>
        <v>#DIV/0!</v>
      </c>
      <c r="W10" s="3558"/>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73"/>
      <c r="B11" s="1384" t="s">
        <v>934</v>
      </c>
      <c r="C11" s="1036">
        <f>C10/4</f>
        <v>0</v>
      </c>
      <c r="D11" s="1036" t="s">
        <v>935</v>
      </c>
      <c r="E11" s="1036" t="e">
        <f>ROUND(C11/E7,4)</f>
        <v>#DIV/0!</v>
      </c>
      <c r="F11" s="1385" t="s">
        <v>936</v>
      </c>
      <c r="G11" s="1386"/>
      <c r="H11" s="1386"/>
      <c r="I11" s="1386"/>
      <c r="J11" s="1387"/>
      <c r="K11" s="3232"/>
      <c r="L11" s="1799" t="s">
        <v>2234</v>
      </c>
      <c r="M11" s="1800">
        <f>SUMPRODUCT((区片价!B317:B337=I2)*(区片价!C3:F3=E2)*(区片价!C317:F337))</f>
        <v>0</v>
      </c>
      <c r="N11" s="1801">
        <f>SUMPRODUCT((因素修正幅度!B317:B337=I2)*(因素修正幅度!C3:F3=E2)*(因素修正幅度!C317:F337))</f>
        <v>0</v>
      </c>
      <c r="O11" s="3232"/>
      <c r="P11" s="2070"/>
      <c r="Q11" s="2070"/>
      <c r="R11" s="2654">
        <v>10</v>
      </c>
      <c r="S11" s="2643"/>
      <c r="T11" s="2654" t="e">
        <f t="shared" si="0"/>
        <v>#DIV/0!</v>
      </c>
      <c r="U11" s="2643"/>
      <c r="V11" s="2654" t="e">
        <f t="shared" si="1"/>
        <v>#DIV/0!</v>
      </c>
      <c r="W11" s="3558" t="s">
        <v>2756</v>
      </c>
      <c r="X11" s="1035" t="s">
        <v>2741</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72" t="s">
        <v>1862</v>
      </c>
      <c r="B12" s="1388" t="s">
        <v>937</v>
      </c>
      <c r="C12" s="1030">
        <f>ROUND(C15*D15*E15*F15*G15*H15*I15*J15,4)</f>
        <v>1</v>
      </c>
      <c r="D12" s="1389" t="s">
        <v>938</v>
      </c>
      <c r="E12" s="1390"/>
      <c r="F12" s="1390"/>
      <c r="G12" s="1391"/>
      <c r="H12" s="1391"/>
      <c r="I12" s="1391"/>
      <c r="J12" s="1392"/>
      <c r="K12" s="3232"/>
      <c r="L12" s="1802" t="s">
        <v>2235</v>
      </c>
      <c r="M12" s="1803">
        <f>SUMPRODUCT((区片价!B338:B344=I2)*(区片价!C3:F3=E2)*(区片价!C338:F344))</f>
        <v>0</v>
      </c>
      <c r="N12" s="1804">
        <f>SUMPRODUCT((因素修正幅度!B338:B344=I2)*(因素修正幅度!C3:F3=E2)*(因素修正幅度!C338:F344))</f>
        <v>0</v>
      </c>
      <c r="O12" s="3232"/>
      <c r="P12" s="2070"/>
      <c r="Q12" s="2070"/>
      <c r="R12" s="2654">
        <v>11</v>
      </c>
      <c r="S12" s="2643"/>
      <c r="T12" s="2654" t="e">
        <f t="shared" si="0"/>
        <v>#DIV/0!</v>
      </c>
      <c r="U12" s="2643"/>
      <c r="V12" s="2654" t="e">
        <f t="shared" si="1"/>
        <v>#DIV/0!</v>
      </c>
      <c r="W12" s="3558"/>
      <c r="X12" s="2651" t="s">
        <v>2757</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7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t="e">
        <f t="shared" si="0"/>
        <v>#DIV/0!</v>
      </c>
      <c r="U13" s="2643"/>
      <c r="V13" s="2654" t="e">
        <f t="shared" si="1"/>
        <v>#DIV/0!</v>
      </c>
      <c r="W13" s="3558"/>
      <c r="X13" s="2651"/>
      <c r="Y13" s="2650">
        <f>(-0.163*(Y12^2)-0.59*Y12+7617)*(10^(-4))/Y11</f>
        <v>0.19042500000000001</v>
      </c>
      <c r="Z13" s="2650">
        <f t="shared" ref="Z13:AJ13" si="5">(-0.163*(Z12^2)-0.59*Z12+7617)*(10^(-4))/Z11</f>
        <v>0.19042500000000001</v>
      </c>
      <c r="AA13" s="2650">
        <f t="shared" si="5"/>
        <v>0.19042500000000001</v>
      </c>
      <c r="AB13" s="2650">
        <f t="shared" si="5"/>
        <v>0.19042500000000001</v>
      </c>
      <c r="AC13" s="2650">
        <f t="shared" si="5"/>
        <v>0.19042500000000001</v>
      </c>
      <c r="AD13" s="2650">
        <f t="shared" si="5"/>
        <v>0.19042500000000001</v>
      </c>
      <c r="AE13" s="2650">
        <f t="shared" si="5"/>
        <v>0.19042500000000001</v>
      </c>
      <c r="AF13" s="2650">
        <f t="shared" si="5"/>
        <v>0.19042500000000001</v>
      </c>
      <c r="AG13" s="2650">
        <f t="shared" si="5"/>
        <v>0.19042500000000001</v>
      </c>
      <c r="AH13" s="2650">
        <f t="shared" si="5"/>
        <v>0.19042500000000001</v>
      </c>
      <c r="AI13" s="2650">
        <f t="shared" si="5"/>
        <v>0.19042500000000001</v>
      </c>
      <c r="AJ13" s="2650">
        <f t="shared" si="5"/>
        <v>0.19042500000000001</v>
      </c>
    </row>
    <row r="14" spans="1:39" ht="12.75" customHeight="1">
      <c r="A14" s="3574"/>
      <c r="B14" s="1400"/>
      <c r="C14" s="1401"/>
      <c r="D14" s="1402"/>
      <c r="E14" s="1402"/>
      <c r="F14" s="1403"/>
      <c r="G14" s="1404" t="s">
        <v>940</v>
      </c>
      <c r="H14" s="1405"/>
      <c r="I14" s="1406"/>
      <c r="J14" s="1407"/>
      <c r="K14" s="3233"/>
      <c r="L14" s="3233"/>
      <c r="M14" s="3233"/>
      <c r="N14" s="3233"/>
      <c r="O14" s="3233"/>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7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72" t="s">
        <v>1829</v>
      </c>
      <c r="B16" s="1376" t="s">
        <v>941</v>
      </c>
      <c r="C16" s="1039" t="e">
        <f>ROUND(IF(F17="与级别开发程度一致",0,(G17-E17)/C17),0)</f>
        <v>#DIV/0!</v>
      </c>
      <c r="D16" s="3566" t="s">
        <v>945</v>
      </c>
      <c r="E16" s="3567"/>
      <c r="F16" s="3566" t="s">
        <v>942</v>
      </c>
      <c r="G16" s="3567"/>
      <c r="H16" s="1408"/>
      <c r="I16" s="1408"/>
      <c r="J16" s="1408"/>
      <c r="K16" s="1408"/>
      <c r="L16" s="1408"/>
      <c r="M16" s="1408"/>
      <c r="N16" s="1408"/>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76"/>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v>
      </c>
      <c r="D18" s="2851"/>
      <c r="E18" s="2852"/>
      <c r="F18" s="2835"/>
      <c r="G18" s="2834"/>
      <c r="H18" s="2834"/>
      <c r="I18" s="2834"/>
      <c r="J18" s="2842"/>
      <c r="K18" s="3231"/>
      <c r="L18" s="2834"/>
      <c r="M18" s="2834"/>
      <c r="N18" s="2834"/>
      <c r="O18" s="2834"/>
      <c r="P18" s="3236"/>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0</v>
      </c>
      <c r="D19" s="1415" t="s">
        <v>948</v>
      </c>
      <c r="E19" s="1041">
        <v>41640</v>
      </c>
      <c r="F19" s="1415" t="s">
        <v>949</v>
      </c>
      <c r="G19" s="1042">
        <f>'数据-取费表'!B2</f>
        <v>44166</v>
      </c>
      <c r="H19" s="1416" t="s">
        <v>2938</v>
      </c>
      <c r="I19" s="2503" t="str">
        <f>IF(H19="季度增幅（自定义）",SUMIF(N21:N24,E2,O21:O24),"")</f>
        <v/>
      </c>
      <c r="J19" s="1412"/>
      <c r="K19" s="3231"/>
      <c r="L19" s="2753" t="s">
        <v>2816</v>
      </c>
      <c r="M19" s="2754">
        <f>ROUND(SUMIF(地价!B2:F2,E2,地价!B32:F32),0)</f>
        <v>0</v>
      </c>
      <c r="N19" s="2505" t="s">
        <v>1667</v>
      </c>
      <c r="O19" s="2504">
        <f>ROUNDDOWN(DATEDIF(E19,G19,"M")/3,0)</f>
        <v>27</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t="e">
        <f>ROUND(POWER(1+G20,J20-I20)*(POWER(1+G20,I20)-1)/(POWER(1+G20,J20)-1),4)</f>
        <v>#DIV/0!</v>
      </c>
      <c r="D20" s="2500" t="s">
        <v>963</v>
      </c>
      <c r="E20" s="2783">
        <f ca="1">存贷款利率!I4/100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2817</v>
      </c>
      <c r="M20" s="2837">
        <f>ROUND(SUMPRODUCT((地价!A4:A32=YEAR(G19)&amp;"-"&amp;ROUNDUP(MONTH(G19)/3,0))*(地价!B2:F2=E2)*(地价!B4:F32)),0)</f>
        <v>0</v>
      </c>
      <c r="N20" s="2508" t="s">
        <v>2621</v>
      </c>
      <c r="O20" s="2506" t="s">
        <v>2620</v>
      </c>
      <c r="P20" s="2507" t="s">
        <v>2626</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2974</v>
      </c>
      <c r="C21" s="1141" t="b">
        <f>IF(B21="容积率修正",IF(G3&lt;=10,D22,J22),C23)</f>
        <v>0</v>
      </c>
      <c r="D21" s="1422"/>
      <c r="E21" s="1422"/>
      <c r="F21" s="1422"/>
      <c r="G21" s="1422"/>
      <c r="H21" s="1422"/>
      <c r="I21" s="1422"/>
      <c r="J21" s="1423"/>
      <c r="K21" s="3231"/>
      <c r="L21" s="1422"/>
      <c r="M21" s="1422"/>
      <c r="N21" s="1419" t="s">
        <v>966</v>
      </c>
      <c r="O21" s="1482"/>
      <c r="P21" s="2495">
        <f>SUMPRODUCT((地价!A3:A32=YEAR(G19)&amp;"-"&amp;ROUNDUP(MONTH(G19)/3,0))*(地价!AD2:AH2=N21)*(地价!AD3:AH32))</f>
        <v>1.14E-2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7"/>
      <c r="L22" s="1422"/>
      <c r="M22" s="1422"/>
      <c r="N22" s="1419" t="s">
        <v>969</v>
      </c>
      <c r="O22" s="1482"/>
      <c r="P22" s="2495">
        <f>SUMPRODUCT((地价!A3:A32=YEAR(G19)&amp;"-"&amp;ROUNDUP(MONTH(G19)/3,0))*(地价!AD2:AH2=N22)*(地价!AD3:AH32))</f>
        <v>1.14E-2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38"/>
      <c r="L23" s="1350"/>
      <c r="M23" s="1350"/>
      <c r="N23" s="1419" t="s">
        <v>914</v>
      </c>
      <c r="O23" s="1482"/>
      <c r="P23" s="2495">
        <f>SUMPRODUCT((地价!A3:A32=YEAR(G19)&amp;"-"&amp;ROUNDUP(MONTH(G19)/3,0))*(地价!AD2:AH2=N23)*(地价!AD3:AH32))</f>
        <v>1.9199999999999998E-2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38"/>
      <c r="L24" s="1422"/>
      <c r="M24" s="1422"/>
      <c r="N24" s="1419" t="s">
        <v>972</v>
      </c>
      <c r="O24" s="2836"/>
      <c r="P24" s="2495">
        <f>SUMPRODUCT((地价!A3:A32=YEAR(G19)&amp;"-"&amp;ROUNDUP(MONTH(G19)/3,0))*(地价!AD2:AH2=N24)*(地价!AD3:AH32))</f>
        <v>1.23E-2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2"/>
      <c r="L25" s="2076"/>
      <c r="M25" s="2076"/>
      <c r="N25" s="2838" t="s">
        <v>2624</v>
      </c>
      <c r="O25" s="2839"/>
      <c r="P25" s="2302">
        <f>SUMPRODUCT((地价!A3:A32=YEAR(G19)&amp;"-"&amp;ROUNDUP(MONTH(G19)/3,0))*(地价!AD2:AH2=N25)*(地价!AD3:AH32))</f>
        <v>1.7399999999999999E-2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2"/>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2"/>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2"/>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t="e">
        <f>ROUND(C5*C18*C19*C20*C21*C24,0)</f>
        <v>#DIV/0!</v>
      </c>
      <c r="D29" s="1444"/>
      <c r="E29" s="1763" t="e">
        <f>ROUND(C29*D29/10000,0)</f>
        <v>#DIV/0!</v>
      </c>
      <c r="F29" s="1445" t="s">
        <v>1692</v>
      </c>
      <c r="G29" s="1446"/>
      <c r="H29" s="1446"/>
      <c r="I29" s="1446"/>
      <c r="J29" s="1447"/>
      <c r="K29" s="3239"/>
      <c r="L29" s="3239"/>
      <c r="M29" s="3239"/>
      <c r="N29" s="3239"/>
      <c r="O29" s="3239"/>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t="e">
        <f>ROUND(IF(E2="工业",C29*M39,C29*M38),0)</f>
        <v>#DIV/0!</v>
      </c>
      <c r="D30" s="1450"/>
      <c r="E30" s="1763" t="e">
        <f>ROUND(C30*D30/10000,0)</f>
        <v>#DIV/0!</v>
      </c>
      <c r="F30" s="1451" t="s">
        <v>986</v>
      </c>
      <c r="G30" s="1452"/>
      <c r="H30" s="1452"/>
      <c r="I30" s="1452"/>
      <c r="J30" s="1453"/>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68"/>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68" t="s">
        <v>2978</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69"/>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6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69"/>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6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70"/>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7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2932</v>
      </c>
      <c r="C41" s="828" t="e">
        <f>ROUND(POWER(1+E41,H41-G41)*(POWER(1+E41,G41)-1)/(POWER(1+E41,H41)-1),4)</f>
        <v>#DIV/0!</v>
      </c>
      <c r="D41" s="372" t="s">
        <v>2930</v>
      </c>
      <c r="E41" s="2832">
        <f>G20</f>
        <v>0</v>
      </c>
      <c r="F41" s="372" t="s">
        <v>2931</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2236</v>
      </c>
      <c r="G46" s="2286" t="s">
        <v>1005</v>
      </c>
      <c r="H46" s="2269" t="s">
        <v>2398</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24">
      <c r="A47" s="1050" t="s">
        <v>1011</v>
      </c>
      <c r="B47" s="2266">
        <f>估价对象房地状况!C16</f>
        <v>0</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14.25">
      <c r="A48" s="1050" t="s">
        <v>1012</v>
      </c>
      <c r="B48" s="2263" t="str">
        <f>估价对象房地状况!C18</f>
        <v>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t="str">
        <f>估价对象房地状况!C19</f>
        <v>较好</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2888</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t="str">
        <f>估价对象房地状况!C24</f>
        <v>主干道</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2887</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一般</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六通</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2237</v>
      </c>
      <c r="G57" s="2286" t="s">
        <v>1005</v>
      </c>
      <c r="H57" s="2269" t="s">
        <v>2398</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24">
      <c r="A58" s="1050" t="s">
        <v>1021</v>
      </c>
      <c r="B58" s="2266">
        <f>估价对象房地状况!C17</f>
        <v>0</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14.25">
      <c r="A59" s="1050" t="s">
        <v>1012</v>
      </c>
      <c r="B59" s="2263" t="str">
        <f>估价对象房地状况!C18</f>
        <v>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t="str">
        <f>估价对象房地状况!C19</f>
        <v>较好</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2889</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t="str">
        <f>估价对象房地状况!C24</f>
        <v>主干道</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2887</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一般</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六通</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2238</v>
      </c>
      <c r="G68" s="2286" t="s">
        <v>1005</v>
      </c>
      <c r="H68" s="2269" t="s">
        <v>2398</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24">
      <c r="A69" s="1050" t="s">
        <v>1023</v>
      </c>
      <c r="B69" s="2266" t="str">
        <f>估价对象房地状况!C15</f>
        <v>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14.25">
      <c r="A70" s="1050" t="s">
        <v>1024</v>
      </c>
      <c r="B70" s="2263" t="str">
        <f>估价对象房地状况!C18</f>
        <v>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t="str">
        <f>估价对象房地状况!C19</f>
        <v>较好</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t="str">
        <f>估价对象房地状况!C24</f>
        <v>主干道</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一般</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六通</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2887</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2239</v>
      </c>
      <c r="G79" s="2286" t="s">
        <v>1005</v>
      </c>
      <c r="H79" s="2269" t="s">
        <v>2398</v>
      </c>
      <c r="I79" s="2286" t="s">
        <v>1003</v>
      </c>
      <c r="J79" s="2289" t="s">
        <v>1006</v>
      </c>
      <c r="K79" s="2289" t="s">
        <v>1007</v>
      </c>
      <c r="L79" s="2289" t="s">
        <v>1008</v>
      </c>
      <c r="M79" s="2289" t="s">
        <v>1009</v>
      </c>
      <c r="N79" s="2289" t="s">
        <v>1010</v>
      </c>
      <c r="AC79" s="1354"/>
      <c r="AD79" s="1353"/>
      <c r="AJ79" s="1352"/>
      <c r="AN79" s="1353"/>
    </row>
    <row r="80" spans="1:40" ht="24">
      <c r="A80" s="1050" t="s">
        <v>1028</v>
      </c>
      <c r="B80" s="2263">
        <f>估价对象房地状况!G15</f>
        <v>0</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14.25">
      <c r="A81" s="1050" t="s">
        <v>1024</v>
      </c>
      <c r="B81" s="2263">
        <f>估价对象房地状况!G16</f>
        <v>0</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f>估价对象房地状况!G19</f>
        <v>0</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f>估价对象房地状况!G20</f>
        <v>0</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2887</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15" thickBot="1">
      <c r="A87" s="2296" t="s">
        <v>1029</v>
      </c>
      <c r="B87" s="2265">
        <f>估价对象房地状况!G18</f>
        <v>0</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77" t="s">
        <v>1624</v>
      </c>
      <c r="B90" s="3577"/>
      <c r="C90" s="3577"/>
      <c r="D90" s="3577"/>
      <c r="E90" s="3577"/>
      <c r="F90" s="3577"/>
      <c r="G90" s="3577"/>
      <c r="H90" s="3577"/>
      <c r="I90" s="3577"/>
      <c r="J90" s="3577"/>
      <c r="K90" s="2305"/>
      <c r="L90" s="2305"/>
      <c r="M90" s="2305"/>
      <c r="N90" s="2305"/>
    </row>
    <row r="91" spans="1:40">
      <c r="A91" s="3578" t="s">
        <v>1434</v>
      </c>
      <c r="B91" s="3578" t="s">
        <v>1625</v>
      </c>
      <c r="C91" s="1123" t="s">
        <v>1626</v>
      </c>
      <c r="D91" s="1124"/>
      <c r="E91" s="1124"/>
      <c r="F91" s="1124"/>
      <c r="G91" s="1124"/>
      <c r="H91" s="1124"/>
      <c r="I91" s="1124"/>
      <c r="J91" s="1125"/>
      <c r="K91" s="1117"/>
      <c r="L91" s="1117"/>
      <c r="M91" s="1117"/>
      <c r="N91" s="1117"/>
    </row>
    <row r="92" spans="1:40">
      <c r="A92" s="3578"/>
      <c r="B92" s="3578"/>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61" t="s">
        <v>2739</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62"/>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62"/>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62"/>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62"/>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62"/>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62"/>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63"/>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61"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62"/>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62"/>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62"/>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62"/>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62"/>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62"/>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62"/>
      <c r="B108" s="3564"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63"/>
      <c r="B109" s="3565"/>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71" t="s">
        <v>1630</v>
      </c>
      <c r="B110" s="3571"/>
      <c r="C110" s="3571"/>
      <c r="D110" s="3571"/>
      <c r="E110" s="3571"/>
      <c r="F110" s="3571"/>
      <c r="G110" s="3571"/>
      <c r="H110" s="3571"/>
      <c r="I110" s="3571"/>
      <c r="J110" s="3571"/>
      <c r="K110" s="2303"/>
      <c r="L110" s="2303"/>
      <c r="M110" s="2303"/>
      <c r="N110" s="2303"/>
    </row>
    <row r="112" spans="1:14" ht="12.75" thickBot="1"/>
    <row r="113" spans="1:13" ht="25.5" thickBot="1">
      <c r="A113" s="1003" t="s">
        <v>887</v>
      </c>
      <c r="B113" s="2306">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2935</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78" t="s">
        <v>998</v>
      </c>
      <c r="B18" s="1137" t="s">
        <v>1437</v>
      </c>
      <c r="C18" s="1114" t="s">
        <v>1438</v>
      </c>
      <c r="D18" s="1115"/>
      <c r="E18" s="1137">
        <v>1</v>
      </c>
      <c r="F18" s="1116" t="s">
        <v>1439</v>
      </c>
      <c r="G18" s="1117"/>
      <c r="H18" s="1088"/>
      <c r="I18" s="1088"/>
    </row>
    <row r="19" spans="1:9" s="1530" customFormat="1" ht="19.5" customHeight="1">
      <c r="A19" s="3578"/>
      <c r="B19" s="3578" t="s">
        <v>1440</v>
      </c>
      <c r="C19" s="1114" t="s">
        <v>1441</v>
      </c>
      <c r="D19" s="1115"/>
      <c r="E19" s="1137">
        <v>0.9</v>
      </c>
      <c r="F19" s="1116" t="s">
        <v>1442</v>
      </c>
      <c r="G19" s="1117"/>
      <c r="H19" s="1088"/>
      <c r="I19" s="1088"/>
    </row>
    <row r="20" spans="1:9" s="1530" customFormat="1" ht="19.5" customHeight="1">
      <c r="A20" s="3578"/>
      <c r="B20" s="3578"/>
      <c r="C20" s="1114" t="s">
        <v>1443</v>
      </c>
      <c r="D20" s="1115"/>
      <c r="E20" s="1137">
        <v>1.1000000000000001</v>
      </c>
      <c r="F20" s="1116" t="s">
        <v>1444</v>
      </c>
      <c r="G20" s="1117"/>
      <c r="H20" s="1088"/>
      <c r="I20" s="1088"/>
    </row>
    <row r="21" spans="1:9" s="1530" customFormat="1" ht="19.5" customHeight="1">
      <c r="A21" s="3578"/>
      <c r="B21" s="3578"/>
      <c r="C21" s="1114" t="s">
        <v>1445</v>
      </c>
      <c r="D21" s="1115"/>
      <c r="E21" s="1137">
        <v>0.8</v>
      </c>
      <c r="F21" s="1116" t="s">
        <v>1446</v>
      </c>
      <c r="G21" s="1117"/>
      <c r="H21" s="1088"/>
      <c r="I21" s="1088"/>
    </row>
    <row r="22" spans="1:9" s="1530" customFormat="1" ht="19.5" customHeight="1">
      <c r="A22" s="3578"/>
      <c r="B22" s="3578"/>
      <c r="C22" s="1114" t="s">
        <v>1447</v>
      </c>
      <c r="D22" s="1115"/>
      <c r="E22" s="1137">
        <v>0.5</v>
      </c>
      <c r="F22" s="1116"/>
      <c r="G22" s="1117"/>
      <c r="H22" s="1088"/>
      <c r="I22" s="1088"/>
    </row>
    <row r="23" spans="1:9" s="1530" customFormat="1" ht="19.5" customHeight="1">
      <c r="A23" s="3578" t="s">
        <v>1020</v>
      </c>
      <c r="B23" s="1137" t="s">
        <v>1437</v>
      </c>
      <c r="C23" s="1114" t="s">
        <v>1448</v>
      </c>
      <c r="D23" s="1115"/>
      <c r="E23" s="1137">
        <v>1</v>
      </c>
      <c r="F23" s="1116" t="s">
        <v>1449</v>
      </c>
      <c r="G23" s="1117"/>
      <c r="H23" s="1088"/>
      <c r="I23" s="1088"/>
    </row>
    <row r="24" spans="1:9" s="1530" customFormat="1" ht="19.5" customHeight="1">
      <c r="A24" s="3578"/>
      <c r="B24" s="3578" t="s">
        <v>1440</v>
      </c>
      <c r="C24" s="1114" t="s">
        <v>1450</v>
      </c>
      <c r="D24" s="1115"/>
      <c r="E24" s="1137">
        <v>0.5</v>
      </c>
      <c r="F24" s="1116"/>
      <c r="G24" s="1117"/>
      <c r="H24" s="1088"/>
      <c r="I24" s="1088"/>
    </row>
    <row r="25" spans="1:9" s="1530" customFormat="1" ht="19.5" customHeight="1">
      <c r="A25" s="3578"/>
      <c r="B25" s="3578"/>
      <c r="C25" s="1114" t="s">
        <v>1451</v>
      </c>
      <c r="D25" s="1115"/>
      <c r="E25" s="1137">
        <v>1.1000000000000001</v>
      </c>
      <c r="F25" s="1116"/>
      <c r="G25" s="1117"/>
      <c r="H25" s="1088"/>
      <c r="I25" s="1088"/>
    </row>
    <row r="26" spans="1:9" s="1530" customFormat="1" ht="19.5" customHeight="1">
      <c r="A26" s="3578"/>
      <c r="B26" s="3578"/>
      <c r="C26" s="1114" t="s">
        <v>1452</v>
      </c>
      <c r="D26" s="1115"/>
      <c r="E26" s="1137">
        <v>1.1000000000000001</v>
      </c>
      <c r="F26" s="1116"/>
      <c r="G26" s="1117"/>
      <c r="H26" s="1088"/>
      <c r="I26" s="1088"/>
    </row>
    <row r="27" spans="1:9" s="1530" customFormat="1" ht="19.5" customHeight="1">
      <c r="A27" s="3578"/>
      <c r="B27" s="3578"/>
      <c r="C27" s="1114" t="s">
        <v>1453</v>
      </c>
      <c r="D27" s="1115"/>
      <c r="E27" s="1137">
        <v>0.9</v>
      </c>
      <c r="F27" s="1116" t="s">
        <v>1454</v>
      </c>
      <c r="G27" s="1117"/>
      <c r="H27" s="1088"/>
      <c r="I27" s="1088"/>
    </row>
    <row r="28" spans="1:9" s="1530" customFormat="1" ht="19.5" customHeight="1">
      <c r="A28" s="3578"/>
      <c r="B28" s="3578"/>
      <c r="C28" s="1114" t="s">
        <v>1455</v>
      </c>
      <c r="D28" s="1115"/>
      <c r="E28" s="1137">
        <v>0.9</v>
      </c>
      <c r="F28" s="1116" t="s">
        <v>1456</v>
      </c>
      <c r="G28" s="1117"/>
      <c r="H28" s="1088"/>
      <c r="I28" s="1088"/>
    </row>
    <row r="29" spans="1:9" s="1530" customFormat="1" ht="19.5" customHeight="1">
      <c r="A29" s="3578"/>
      <c r="B29" s="3578"/>
      <c r="C29" s="1114" t="s">
        <v>1457</v>
      </c>
      <c r="D29" s="1115"/>
      <c r="E29" s="1137">
        <v>0.9</v>
      </c>
      <c r="F29" s="1116" t="s">
        <v>1458</v>
      </c>
      <c r="G29" s="1117"/>
      <c r="H29" s="1088"/>
      <c r="I29" s="1088"/>
    </row>
    <row r="30" spans="1:9" s="1530" customFormat="1" ht="19.5" customHeight="1">
      <c r="A30" s="3578"/>
      <c r="B30" s="3578"/>
      <c r="C30" s="1114" t="s">
        <v>1459</v>
      </c>
      <c r="D30" s="1115"/>
      <c r="E30" s="1137">
        <v>0.9</v>
      </c>
      <c r="F30" s="1116" t="s">
        <v>1460</v>
      </c>
      <c r="G30" s="1117"/>
      <c r="H30" s="1088"/>
      <c r="I30" s="1088"/>
    </row>
    <row r="31" spans="1:9" s="1530" customFormat="1" ht="19.5" customHeight="1">
      <c r="A31" s="3578"/>
      <c r="B31" s="3578"/>
      <c r="C31" s="1114" t="s">
        <v>1461</v>
      </c>
      <c r="D31" s="1115"/>
      <c r="E31" s="1137">
        <v>0.8</v>
      </c>
      <c r="F31" s="1116" t="s">
        <v>1462</v>
      </c>
      <c r="G31" s="1117"/>
      <c r="H31" s="1088"/>
      <c r="I31" s="1088"/>
    </row>
    <row r="32" spans="1:9" s="1530" customFormat="1" ht="19.5" customHeight="1">
      <c r="A32" s="3578"/>
      <c r="B32" s="3578"/>
      <c r="C32" s="1114" t="s">
        <v>1463</v>
      </c>
      <c r="D32" s="1115"/>
      <c r="E32" s="1137">
        <v>0.8</v>
      </c>
      <c r="F32" s="1116" t="s">
        <v>1464</v>
      </c>
      <c r="G32" s="1117"/>
      <c r="H32" s="1088"/>
      <c r="I32" s="1088"/>
    </row>
    <row r="33" spans="1:9" s="1530" customFormat="1" ht="19.5" customHeight="1">
      <c r="A33" s="3578" t="s">
        <v>1465</v>
      </c>
      <c r="B33" s="1137" t="s">
        <v>1437</v>
      </c>
      <c r="C33" s="1114" t="s">
        <v>1466</v>
      </c>
      <c r="D33" s="1115"/>
      <c r="E33" s="1137">
        <v>1</v>
      </c>
      <c r="F33" s="1116" t="s">
        <v>1467</v>
      </c>
      <c r="G33" s="1117"/>
      <c r="H33" s="1088"/>
      <c r="I33" s="1088"/>
    </row>
    <row r="34" spans="1:9" s="1530" customFormat="1" ht="19.5" customHeight="1">
      <c r="A34" s="3578"/>
      <c r="B34" s="1137" t="s">
        <v>1440</v>
      </c>
      <c r="C34" s="1114" t="s">
        <v>1468</v>
      </c>
      <c r="D34" s="1115"/>
      <c r="E34" s="1137">
        <v>1.5</v>
      </c>
      <c r="F34" s="1116" t="s">
        <v>1469</v>
      </c>
      <c r="G34" s="1117"/>
      <c r="H34" s="1088"/>
      <c r="I34" s="1088"/>
    </row>
    <row r="35" spans="1:9" s="1530" customFormat="1" ht="19.5" customHeight="1">
      <c r="A35" s="3578" t="s">
        <v>1423</v>
      </c>
      <c r="B35" s="1137" t="s">
        <v>1437</v>
      </c>
      <c r="C35" s="1114" t="s">
        <v>1470</v>
      </c>
      <c r="D35" s="1115"/>
      <c r="E35" s="1137">
        <v>1</v>
      </c>
      <c r="F35" s="1116" t="s">
        <v>1471</v>
      </c>
      <c r="G35" s="1117"/>
      <c r="H35" s="1088"/>
      <c r="I35" s="1088"/>
    </row>
    <row r="36" spans="1:9" s="1530" customFormat="1" ht="19.5" customHeight="1">
      <c r="A36" s="3578"/>
      <c r="B36" s="3578" t="s">
        <v>1440</v>
      </c>
      <c r="C36" s="1114" t="s">
        <v>1472</v>
      </c>
      <c r="D36" s="1115"/>
      <c r="E36" s="1137">
        <v>1</v>
      </c>
      <c r="F36" s="1116" t="s">
        <v>1473</v>
      </c>
      <c r="G36" s="1117"/>
      <c r="H36" s="1088"/>
      <c r="I36" s="1088"/>
    </row>
    <row r="37" spans="1:9" s="1530" customFormat="1" ht="19.5" customHeight="1">
      <c r="A37" s="3578"/>
      <c r="B37" s="3578"/>
      <c r="C37" s="1114" t="s">
        <v>1474</v>
      </c>
      <c r="D37" s="1115"/>
      <c r="E37" s="1137">
        <v>1.5</v>
      </c>
      <c r="F37" s="1116" t="s">
        <v>1475</v>
      </c>
      <c r="G37" s="1117"/>
      <c r="H37" s="1088"/>
      <c r="I37" s="1088"/>
    </row>
    <row r="38" spans="1:9" s="1530" customFormat="1" ht="19.5" customHeight="1">
      <c r="A38" s="3578"/>
      <c r="B38" s="3578"/>
      <c r="C38" s="1114" t="s">
        <v>1476</v>
      </c>
      <c r="D38" s="1115"/>
      <c r="E38" s="1137">
        <v>1</v>
      </c>
      <c r="F38" s="1116" t="s">
        <v>1477</v>
      </c>
      <c r="G38" s="1117"/>
      <c r="H38" s="1088"/>
      <c r="I38" s="1088"/>
    </row>
    <row r="39" spans="1:9" s="1530" customFormat="1" ht="19.5" customHeight="1">
      <c r="A39" s="3578"/>
      <c r="B39" s="357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78" t="s">
        <v>1492</v>
      </c>
      <c r="C61" s="1051" t="s">
        <v>1493</v>
      </c>
      <c r="D61" s="1051" t="s">
        <v>1494</v>
      </c>
      <c r="E61" s="1122">
        <v>0.5</v>
      </c>
      <c r="F61" s="1137">
        <v>80</v>
      </c>
      <c r="H61" s="1088">
        <f>SUMIF(C59:C119,基准地价!C8,E59:E119)</f>
        <v>0</v>
      </c>
    </row>
    <row r="62" spans="1:8" s="1088" customFormat="1" ht="24">
      <c r="A62" s="1137">
        <v>2</v>
      </c>
      <c r="B62" s="3578"/>
      <c r="C62" s="1051" t="s">
        <v>1495</v>
      </c>
      <c r="D62" s="1051" t="s">
        <v>1496</v>
      </c>
      <c r="E62" s="1122">
        <v>0.5</v>
      </c>
      <c r="F62" s="1137">
        <v>80</v>
      </c>
    </row>
    <row r="63" spans="1:8" s="1088" customFormat="1" ht="36">
      <c r="A63" s="1137">
        <v>3</v>
      </c>
      <c r="B63" s="3578"/>
      <c r="C63" s="1051" t="s">
        <v>1497</v>
      </c>
      <c r="D63" s="1051" t="s">
        <v>1498</v>
      </c>
      <c r="E63" s="1122">
        <v>0.5</v>
      </c>
      <c r="F63" s="1137">
        <v>80</v>
      </c>
    </row>
    <row r="64" spans="1:8" s="1088" customFormat="1" ht="36">
      <c r="A64" s="1137">
        <v>4</v>
      </c>
      <c r="B64" s="3578"/>
      <c r="C64" s="1051" t="s">
        <v>1499</v>
      </c>
      <c r="D64" s="1051" t="s">
        <v>1500</v>
      </c>
      <c r="E64" s="1122">
        <v>0.4</v>
      </c>
      <c r="F64" s="1137">
        <v>60</v>
      </c>
    </row>
    <row r="65" spans="1:6" s="1088" customFormat="1" ht="36">
      <c r="A65" s="1137">
        <v>5</v>
      </c>
      <c r="B65" s="3578"/>
      <c r="C65" s="1051" t="s">
        <v>1501</v>
      </c>
      <c r="D65" s="1051" t="s">
        <v>1502</v>
      </c>
      <c r="E65" s="1122">
        <v>0.2</v>
      </c>
      <c r="F65" s="1137">
        <v>30</v>
      </c>
    </row>
    <row r="66" spans="1:6" s="1088" customFormat="1" ht="36">
      <c r="A66" s="1137">
        <v>6</v>
      </c>
      <c r="B66" s="3578"/>
      <c r="C66" s="1051" t="s">
        <v>1503</v>
      </c>
      <c r="D66" s="1051" t="s">
        <v>1504</v>
      </c>
      <c r="E66" s="1122">
        <v>0.3</v>
      </c>
      <c r="F66" s="1137">
        <v>50</v>
      </c>
    </row>
    <row r="67" spans="1:6" s="1088" customFormat="1" ht="36">
      <c r="A67" s="1137">
        <v>7</v>
      </c>
      <c r="B67" s="3578"/>
      <c r="C67" s="1051" t="s">
        <v>1505</v>
      </c>
      <c r="D67" s="1051" t="s">
        <v>1506</v>
      </c>
      <c r="E67" s="1122">
        <v>0.2</v>
      </c>
      <c r="F67" s="1137">
        <v>30</v>
      </c>
    </row>
    <row r="68" spans="1:6" s="1088" customFormat="1" ht="36">
      <c r="A68" s="1137">
        <v>8</v>
      </c>
      <c r="B68" s="3578"/>
      <c r="C68" s="1051" t="s">
        <v>1507</v>
      </c>
      <c r="D68" s="1051" t="s">
        <v>1508</v>
      </c>
      <c r="E68" s="1122">
        <v>0.2</v>
      </c>
      <c r="F68" s="1137">
        <v>30</v>
      </c>
    </row>
    <row r="69" spans="1:6" s="1088" customFormat="1" ht="36">
      <c r="A69" s="1137">
        <v>9</v>
      </c>
      <c r="B69" s="3578"/>
      <c r="C69" s="1051" t="s">
        <v>1509</v>
      </c>
      <c r="D69" s="1051" t="s">
        <v>1510</v>
      </c>
      <c r="E69" s="1122">
        <v>0.2</v>
      </c>
      <c r="F69" s="1137">
        <v>30</v>
      </c>
    </row>
    <row r="70" spans="1:6" s="1088" customFormat="1" ht="48">
      <c r="A70" s="1137">
        <v>10</v>
      </c>
      <c r="B70" s="3578"/>
      <c r="C70" s="1051" t="s">
        <v>1511</v>
      </c>
      <c r="D70" s="1051" t="s">
        <v>1512</v>
      </c>
      <c r="E70" s="1122">
        <v>0.2</v>
      </c>
      <c r="F70" s="1137">
        <v>30</v>
      </c>
    </row>
    <row r="71" spans="1:6" s="1088" customFormat="1" ht="48">
      <c r="A71" s="1137">
        <v>11</v>
      </c>
      <c r="B71" s="3578"/>
      <c r="C71" s="1051" t="s">
        <v>1513</v>
      </c>
      <c r="D71" s="1051" t="s">
        <v>1514</v>
      </c>
      <c r="E71" s="1122">
        <v>0.2</v>
      </c>
      <c r="F71" s="1137">
        <v>30</v>
      </c>
    </row>
    <row r="72" spans="1:6" s="1088" customFormat="1" ht="36">
      <c r="A72" s="1137">
        <v>12</v>
      </c>
      <c r="B72" s="3578"/>
      <c r="C72" s="1051" t="s">
        <v>1515</v>
      </c>
      <c r="D72" s="1051" t="s">
        <v>1516</v>
      </c>
      <c r="E72" s="1122">
        <v>0.5</v>
      </c>
      <c r="F72" s="1137">
        <v>80</v>
      </c>
    </row>
    <row r="73" spans="1:6" s="1088" customFormat="1" ht="24">
      <c r="A73" s="1137">
        <v>13</v>
      </c>
      <c r="B73" s="3578"/>
      <c r="C73" s="1051" t="s">
        <v>1517</v>
      </c>
      <c r="D73" s="1051" t="s">
        <v>1518</v>
      </c>
      <c r="E73" s="1122">
        <v>0.4</v>
      </c>
      <c r="F73" s="1137">
        <v>60</v>
      </c>
    </row>
    <row r="74" spans="1:6" s="1088" customFormat="1" ht="24">
      <c r="A74" s="1137">
        <v>14</v>
      </c>
      <c r="B74" s="3578"/>
      <c r="C74" s="1051" t="s">
        <v>1519</v>
      </c>
      <c r="D74" s="1051" t="s">
        <v>1520</v>
      </c>
      <c r="E74" s="1122">
        <v>0.2</v>
      </c>
      <c r="F74" s="1137">
        <v>30</v>
      </c>
    </row>
    <row r="75" spans="1:6" s="1088" customFormat="1" ht="24">
      <c r="A75" s="1137">
        <v>15</v>
      </c>
      <c r="B75" s="3578"/>
      <c r="C75" s="1051" t="s">
        <v>1521</v>
      </c>
      <c r="D75" s="1051" t="s">
        <v>1522</v>
      </c>
      <c r="E75" s="1122">
        <v>0.2</v>
      </c>
      <c r="F75" s="1137">
        <v>30</v>
      </c>
    </row>
    <row r="76" spans="1:6" s="1088" customFormat="1" ht="24">
      <c r="A76" s="1137">
        <v>16</v>
      </c>
      <c r="B76" s="3578" t="s">
        <v>1523</v>
      </c>
      <c r="C76" s="1051" t="s">
        <v>1524</v>
      </c>
      <c r="D76" s="1051" t="s">
        <v>1525</v>
      </c>
      <c r="E76" s="1122">
        <v>0.5</v>
      </c>
      <c r="F76" s="1137">
        <v>80</v>
      </c>
    </row>
    <row r="77" spans="1:6" s="1088" customFormat="1" ht="24">
      <c r="A77" s="1137">
        <v>17</v>
      </c>
      <c r="B77" s="3578"/>
      <c r="C77" s="1051" t="s">
        <v>1526</v>
      </c>
      <c r="D77" s="1051" t="s">
        <v>1527</v>
      </c>
      <c r="E77" s="1122">
        <v>0.5</v>
      </c>
      <c r="F77" s="1137">
        <v>80</v>
      </c>
    </row>
    <row r="78" spans="1:6" s="1088" customFormat="1" ht="24">
      <c r="A78" s="1137">
        <v>18</v>
      </c>
      <c r="B78" s="3578"/>
      <c r="C78" s="1051" t="s">
        <v>1528</v>
      </c>
      <c r="D78" s="1051" t="s">
        <v>1529</v>
      </c>
      <c r="E78" s="1122">
        <v>0.2</v>
      </c>
      <c r="F78" s="1137">
        <v>30</v>
      </c>
    </row>
    <row r="79" spans="1:6" s="1088" customFormat="1" ht="24">
      <c r="A79" s="1137">
        <v>19</v>
      </c>
      <c r="B79" s="3578"/>
      <c r="C79" s="1051" t="s">
        <v>1530</v>
      </c>
      <c r="D79" s="1051" t="s">
        <v>1531</v>
      </c>
      <c r="E79" s="1122">
        <v>0.5</v>
      </c>
      <c r="F79" s="1137">
        <v>80</v>
      </c>
    </row>
    <row r="80" spans="1:6" s="1088" customFormat="1" ht="36">
      <c r="A80" s="1137">
        <v>20</v>
      </c>
      <c r="B80" s="3578"/>
      <c r="C80" s="1051" t="s">
        <v>1532</v>
      </c>
      <c r="D80" s="1051" t="s">
        <v>1533</v>
      </c>
      <c r="E80" s="1122">
        <v>0.2</v>
      </c>
      <c r="F80" s="1137">
        <v>30</v>
      </c>
    </row>
    <row r="81" spans="1:6" s="1088" customFormat="1" ht="36">
      <c r="A81" s="1137">
        <v>21</v>
      </c>
      <c r="B81" s="3578"/>
      <c r="C81" s="1051" t="s">
        <v>1534</v>
      </c>
      <c r="D81" s="1051" t="s">
        <v>1535</v>
      </c>
      <c r="E81" s="1122">
        <v>0.2</v>
      </c>
      <c r="F81" s="1137">
        <v>30</v>
      </c>
    </row>
    <row r="82" spans="1:6" s="1088" customFormat="1" ht="48">
      <c r="A82" s="1137">
        <v>22</v>
      </c>
      <c r="B82" s="3578"/>
      <c r="C82" s="1051" t="s">
        <v>1536</v>
      </c>
      <c r="D82" s="1051" t="s">
        <v>1537</v>
      </c>
      <c r="E82" s="1122">
        <v>0.2</v>
      </c>
      <c r="F82" s="1137">
        <v>30</v>
      </c>
    </row>
    <row r="83" spans="1:6" s="1088" customFormat="1" ht="48">
      <c r="A83" s="1137">
        <v>23</v>
      </c>
      <c r="B83" s="3578"/>
      <c r="C83" s="1051" t="s">
        <v>1538</v>
      </c>
      <c r="D83" s="1051" t="s">
        <v>1539</v>
      </c>
      <c r="E83" s="1122">
        <v>0.2</v>
      </c>
      <c r="F83" s="1137">
        <v>30</v>
      </c>
    </row>
    <row r="84" spans="1:6" s="1088" customFormat="1" ht="36">
      <c r="A84" s="1137">
        <v>24</v>
      </c>
      <c r="B84" s="3578"/>
      <c r="C84" s="1051" t="s">
        <v>1540</v>
      </c>
      <c r="D84" s="1051" t="s">
        <v>1541</v>
      </c>
      <c r="E84" s="1122">
        <v>0.2</v>
      </c>
      <c r="F84" s="1137">
        <v>30</v>
      </c>
    </row>
    <row r="85" spans="1:6" s="1088" customFormat="1" ht="36">
      <c r="A85" s="1137">
        <v>25</v>
      </c>
      <c r="B85" s="3578"/>
      <c r="C85" s="1051" t="s">
        <v>1542</v>
      </c>
      <c r="D85" s="1051" t="s">
        <v>1543</v>
      </c>
      <c r="E85" s="1122">
        <v>0.5</v>
      </c>
      <c r="F85" s="1137">
        <v>80</v>
      </c>
    </row>
    <row r="86" spans="1:6" s="1088" customFormat="1" ht="36">
      <c r="A86" s="1137">
        <v>26</v>
      </c>
      <c r="B86" s="3578"/>
      <c r="C86" s="1051" t="s">
        <v>1544</v>
      </c>
      <c r="D86" s="1051" t="s">
        <v>1545</v>
      </c>
      <c r="E86" s="1122">
        <v>0.2</v>
      </c>
      <c r="F86" s="1137">
        <v>30</v>
      </c>
    </row>
    <row r="87" spans="1:6" s="1088" customFormat="1" ht="36">
      <c r="A87" s="1137">
        <v>27</v>
      </c>
      <c r="B87" s="3578"/>
      <c r="C87" s="1051" t="s">
        <v>1546</v>
      </c>
      <c r="D87" s="1051" t="s">
        <v>1547</v>
      </c>
      <c r="E87" s="1122">
        <v>0.2</v>
      </c>
      <c r="F87" s="1137">
        <v>30</v>
      </c>
    </row>
    <row r="88" spans="1:6" s="1088" customFormat="1" ht="36">
      <c r="A88" s="1137">
        <v>28</v>
      </c>
      <c r="B88" s="3578"/>
      <c r="C88" s="1051" t="s">
        <v>1548</v>
      </c>
      <c r="D88" s="1051" t="s">
        <v>1549</v>
      </c>
      <c r="E88" s="1122">
        <v>0.2</v>
      </c>
      <c r="F88" s="1137">
        <v>30</v>
      </c>
    </row>
    <row r="89" spans="1:6" s="1088" customFormat="1" ht="24">
      <c r="A89" s="1137">
        <v>29</v>
      </c>
      <c r="B89" s="3578"/>
      <c r="C89" s="1051" t="s">
        <v>1550</v>
      </c>
      <c r="D89" s="1051" t="s">
        <v>1551</v>
      </c>
      <c r="E89" s="1122">
        <v>0.2</v>
      </c>
      <c r="F89" s="1137">
        <v>30</v>
      </c>
    </row>
    <row r="90" spans="1:6" s="1088" customFormat="1" ht="24">
      <c r="A90" s="1137">
        <v>30</v>
      </c>
      <c r="B90" s="3578"/>
      <c r="C90" s="1051" t="s">
        <v>1552</v>
      </c>
      <c r="D90" s="1051" t="s">
        <v>1553</v>
      </c>
      <c r="E90" s="1122">
        <v>0.2</v>
      </c>
      <c r="F90" s="1137">
        <v>30</v>
      </c>
    </row>
    <row r="91" spans="1:6" s="1088" customFormat="1" ht="36">
      <c r="A91" s="1137">
        <v>31</v>
      </c>
      <c r="B91" s="3578"/>
      <c r="C91" s="1051" t="s">
        <v>1554</v>
      </c>
      <c r="D91" s="1051" t="s">
        <v>1555</v>
      </c>
      <c r="E91" s="1122">
        <v>0.2</v>
      </c>
      <c r="F91" s="1137">
        <v>30</v>
      </c>
    </row>
    <row r="92" spans="1:6" s="1088" customFormat="1" ht="24">
      <c r="A92" s="1137">
        <v>32</v>
      </c>
      <c r="B92" s="3578" t="s">
        <v>1556</v>
      </c>
      <c r="C92" s="1137" t="s">
        <v>1557</v>
      </c>
      <c r="D92" s="1051" t="s">
        <v>1558</v>
      </c>
      <c r="E92" s="1122">
        <v>0.2</v>
      </c>
      <c r="F92" s="1137">
        <v>30</v>
      </c>
    </row>
    <row r="93" spans="1:6" s="1088" customFormat="1" ht="36">
      <c r="A93" s="1137">
        <v>33</v>
      </c>
      <c r="B93" s="3578"/>
      <c r="C93" s="1137" t="s">
        <v>1559</v>
      </c>
      <c r="D93" s="1051" t="s">
        <v>1560</v>
      </c>
      <c r="E93" s="1122">
        <v>0.2</v>
      </c>
      <c r="F93" s="1137">
        <v>30</v>
      </c>
    </row>
    <row r="94" spans="1:6" s="1088" customFormat="1" ht="48">
      <c r="A94" s="1137">
        <v>34</v>
      </c>
      <c r="B94" s="3578"/>
      <c r="C94" s="1137" t="s">
        <v>1561</v>
      </c>
      <c r="D94" s="1051" t="s">
        <v>1562</v>
      </c>
      <c r="E94" s="1122">
        <v>0.2</v>
      </c>
      <c r="F94" s="1137">
        <v>30</v>
      </c>
    </row>
    <row r="95" spans="1:6" s="1088" customFormat="1" ht="36">
      <c r="A95" s="1137">
        <v>35</v>
      </c>
      <c r="B95" s="3578"/>
      <c r="C95" s="1137" t="s">
        <v>1563</v>
      </c>
      <c r="D95" s="1051" t="s">
        <v>1564</v>
      </c>
      <c r="E95" s="1122">
        <v>0.2</v>
      </c>
      <c r="F95" s="1137">
        <v>30</v>
      </c>
    </row>
    <row r="96" spans="1:6" s="1088" customFormat="1" ht="48">
      <c r="A96" s="1137">
        <v>36</v>
      </c>
      <c r="B96" s="3578"/>
      <c r="C96" s="1051" t="s">
        <v>1565</v>
      </c>
      <c r="D96" s="1051" t="s">
        <v>1566</v>
      </c>
      <c r="E96" s="1122">
        <v>0.2</v>
      </c>
      <c r="F96" s="1137">
        <v>30</v>
      </c>
    </row>
    <row r="97" spans="1:6" s="1088" customFormat="1" ht="36">
      <c r="A97" s="1137">
        <v>37</v>
      </c>
      <c r="B97" s="3578"/>
      <c r="C97" s="1137" t="s">
        <v>1567</v>
      </c>
      <c r="D97" s="1051" t="s">
        <v>1568</v>
      </c>
      <c r="E97" s="1122">
        <v>0.2</v>
      </c>
      <c r="F97" s="1137">
        <v>30</v>
      </c>
    </row>
    <row r="98" spans="1:6" s="1088" customFormat="1" ht="36">
      <c r="A98" s="1137">
        <v>38</v>
      </c>
      <c r="B98" s="3578"/>
      <c r="C98" s="1137" t="s">
        <v>1569</v>
      </c>
      <c r="D98" s="1051" t="s">
        <v>1570</v>
      </c>
      <c r="E98" s="1122">
        <v>0.2</v>
      </c>
      <c r="F98" s="1137">
        <v>30</v>
      </c>
    </row>
    <row r="99" spans="1:6" s="1088" customFormat="1" ht="36">
      <c r="A99" s="1137">
        <v>39</v>
      </c>
      <c r="B99" s="3578" t="s">
        <v>1571</v>
      </c>
      <c r="C99" s="1137" t="s">
        <v>1572</v>
      </c>
      <c r="D99" s="1051" t="s">
        <v>1573</v>
      </c>
      <c r="E99" s="1122">
        <v>0.3</v>
      </c>
      <c r="F99" s="1137">
        <v>50</v>
      </c>
    </row>
    <row r="100" spans="1:6" s="1088" customFormat="1" ht="24">
      <c r="A100" s="1137">
        <v>40</v>
      </c>
      <c r="B100" s="3578"/>
      <c r="C100" s="1137" t="s">
        <v>1574</v>
      </c>
      <c r="D100" s="1051" t="s">
        <v>1575</v>
      </c>
      <c r="E100" s="1122">
        <v>0.2</v>
      </c>
      <c r="F100" s="1137">
        <v>30</v>
      </c>
    </row>
    <row r="101" spans="1:6" s="1088" customFormat="1" ht="36">
      <c r="A101" s="1137">
        <v>41</v>
      </c>
      <c r="B101" s="357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78" t="s">
        <v>1586</v>
      </c>
      <c r="C105" s="1137" t="s">
        <v>1587</v>
      </c>
      <c r="D105" s="1051" t="s">
        <v>1588</v>
      </c>
      <c r="E105" s="1122">
        <v>0.2</v>
      </c>
      <c r="F105" s="1137">
        <v>30</v>
      </c>
    </row>
    <row r="106" spans="1:6" s="1088" customFormat="1" ht="36">
      <c r="A106" s="1137">
        <v>46</v>
      </c>
      <c r="B106" s="3578"/>
      <c r="C106" s="1137" t="s">
        <v>1589</v>
      </c>
      <c r="D106" s="1051" t="s">
        <v>1590</v>
      </c>
      <c r="E106" s="1122">
        <v>0.2</v>
      </c>
      <c r="F106" s="1137">
        <v>30</v>
      </c>
    </row>
    <row r="107" spans="1:6" s="1088" customFormat="1" ht="36">
      <c r="A107" s="1137">
        <v>47</v>
      </c>
      <c r="B107" s="3578" t="s">
        <v>1591</v>
      </c>
      <c r="C107" s="1137" t="s">
        <v>1592</v>
      </c>
      <c r="D107" s="1051" t="s">
        <v>1593</v>
      </c>
      <c r="E107" s="1122">
        <v>0.3</v>
      </c>
      <c r="F107" s="1137">
        <v>50</v>
      </c>
    </row>
    <row r="108" spans="1:6" s="1088" customFormat="1" ht="36">
      <c r="A108" s="1137">
        <v>48</v>
      </c>
      <c r="B108" s="357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78" t="s">
        <v>1602</v>
      </c>
      <c r="C111" s="1137" t="s">
        <v>1603</v>
      </c>
      <c r="D111" s="1051" t="s">
        <v>1604</v>
      </c>
      <c r="E111" s="1122">
        <v>0.2</v>
      </c>
      <c r="F111" s="1137">
        <v>30</v>
      </c>
    </row>
    <row r="112" spans="1:6" s="1088" customFormat="1" ht="24">
      <c r="A112" s="1137">
        <v>52</v>
      </c>
      <c r="B112" s="3578"/>
      <c r="C112" s="1137" t="s">
        <v>1605</v>
      </c>
      <c r="D112" s="1051" t="s">
        <v>1606</v>
      </c>
      <c r="E112" s="1122">
        <v>0.2</v>
      </c>
      <c r="F112" s="1137">
        <v>30</v>
      </c>
    </row>
    <row r="113" spans="1:14" s="1088" customFormat="1" ht="24">
      <c r="A113" s="1137">
        <v>53</v>
      </c>
      <c r="B113" s="357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78" t="s">
        <v>1615</v>
      </c>
      <c r="C116" s="1137" t="s">
        <v>1616</v>
      </c>
      <c r="D116" s="1051" t="s">
        <v>1617</v>
      </c>
      <c r="E116" s="1122">
        <v>0.2</v>
      </c>
      <c r="F116" s="1137">
        <v>30</v>
      </c>
    </row>
    <row r="117" spans="1:14" ht="36">
      <c r="A117" s="1137">
        <v>57</v>
      </c>
      <c r="B117" s="357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77" t="s">
        <v>1624</v>
      </c>
      <c r="B121" s="3577"/>
      <c r="C121" s="3577"/>
      <c r="D121" s="3577"/>
      <c r="E121" s="3577"/>
      <c r="F121" s="3577"/>
      <c r="G121" s="3577"/>
      <c r="H121" s="3577"/>
      <c r="I121" s="3577"/>
      <c r="J121" s="357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79" t="s">
        <v>1030</v>
      </c>
      <c r="B1" s="3579"/>
      <c r="C1" s="3579"/>
      <c r="D1" s="3579"/>
      <c r="E1" s="3579"/>
      <c r="F1" s="3579"/>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80" t="s">
        <v>1043</v>
      </c>
      <c r="B2" s="3580"/>
      <c r="C2" s="3580"/>
      <c r="D2" s="3580"/>
      <c r="E2" s="3580"/>
      <c r="F2" s="3580"/>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81"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82"/>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2402</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2403</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3" t="s">
        <v>2065</v>
      </c>
      <c r="B1" s="3583"/>
    </row>
    <row r="2" spans="1:6" ht="14.25" thickBot="1">
      <c r="A2" s="1765"/>
      <c r="B2" s="1765"/>
    </row>
    <row r="3" spans="1:6" ht="14.25" thickBot="1">
      <c r="A3" s="1765"/>
      <c r="B3" s="1765"/>
      <c r="C3" s="1766" t="s">
        <v>2066</v>
      </c>
      <c r="D3" s="1766" t="s">
        <v>2067</v>
      </c>
      <c r="E3" s="1766" t="s">
        <v>2068</v>
      </c>
      <c r="F3" s="1766" t="s">
        <v>2069</v>
      </c>
    </row>
    <row r="4" spans="1:6" ht="14.25" thickBot="1">
      <c r="A4" s="1767" t="s">
        <v>2070</v>
      </c>
      <c r="B4" s="1768" t="s">
        <v>2071</v>
      </c>
      <c r="C4" s="1766"/>
      <c r="D4" s="1766"/>
      <c r="E4" s="1766"/>
      <c r="F4" s="1766"/>
    </row>
    <row r="5" spans="1:6" ht="14.25" thickBot="1">
      <c r="A5" s="1769" t="s">
        <v>2072</v>
      </c>
      <c r="B5" s="1770" t="s">
        <v>2073</v>
      </c>
      <c r="C5" s="1771">
        <v>8.8999999999999996E-2</v>
      </c>
      <c r="D5" s="1771">
        <v>7.3999999999999996E-2</v>
      </c>
      <c r="E5" s="1771">
        <v>7.4999999999999997E-2</v>
      </c>
      <c r="F5" s="1772">
        <v>0.1</v>
      </c>
    </row>
    <row r="6" spans="1:6" ht="14.25" thickBot="1">
      <c r="A6" s="1769" t="s">
        <v>1087</v>
      </c>
      <c r="B6" s="1773" t="s">
        <v>2074</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2075</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2076</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2077</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2078</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2079</v>
      </c>
      <c r="C72" s="1783"/>
      <c r="D72" s="1783"/>
      <c r="E72" s="1783"/>
      <c r="F72" s="1775">
        <v>0.05</v>
      </c>
    </row>
    <row r="73" spans="1:6" ht="14.25" thickBot="1">
      <c r="A73" s="1769" t="s">
        <v>916</v>
      </c>
      <c r="B73" s="1773" t="s">
        <v>2080</v>
      </c>
      <c r="C73" s="1783"/>
      <c r="D73" s="1783"/>
      <c r="E73" s="1783"/>
      <c r="F73" s="1775">
        <v>0.05</v>
      </c>
    </row>
    <row r="74" spans="1:6" ht="14.25" thickBot="1">
      <c r="A74" s="1769" t="s">
        <v>916</v>
      </c>
      <c r="B74" s="1773" t="s">
        <v>2081</v>
      </c>
      <c r="C74" s="1783"/>
      <c r="D74" s="1783"/>
      <c r="E74" s="1783"/>
      <c r="F74" s="1775">
        <v>0.05</v>
      </c>
    </row>
    <row r="75" spans="1:6" ht="14.25" thickBot="1">
      <c r="A75" s="1777" t="s">
        <v>916</v>
      </c>
      <c r="B75" s="1784" t="s">
        <v>2082</v>
      </c>
      <c r="C75" s="1780"/>
      <c r="D75" s="1780"/>
      <c r="E75" s="1780"/>
      <c r="F75" s="1785">
        <v>0.05</v>
      </c>
    </row>
    <row r="76" spans="1:6" ht="14.25" thickBot="1">
      <c r="A76" s="1769" t="s">
        <v>1398</v>
      </c>
      <c r="B76" s="1770" t="s">
        <v>2083</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2084</v>
      </c>
      <c r="C102" s="1783"/>
      <c r="D102" s="1783"/>
      <c r="E102" s="1783"/>
      <c r="F102" s="1775">
        <v>0.05</v>
      </c>
    </row>
    <row r="103" spans="1:6" ht="24.75" thickBot="1">
      <c r="A103" s="1769" t="s">
        <v>1398</v>
      </c>
      <c r="B103" s="1773" t="s">
        <v>2085</v>
      </c>
      <c r="C103" s="1783"/>
      <c r="D103" s="1783"/>
      <c r="E103" s="1783"/>
      <c r="F103" s="1775">
        <v>0.05</v>
      </c>
    </row>
    <row r="104" spans="1:6" ht="14.25" thickBot="1">
      <c r="A104" s="1769" t="s">
        <v>1398</v>
      </c>
      <c r="B104" s="1773" t="s">
        <v>2086</v>
      </c>
      <c r="C104" s="1783"/>
      <c r="D104" s="1783"/>
      <c r="E104" s="1783"/>
      <c r="F104" s="1775">
        <v>0.05</v>
      </c>
    </row>
    <row r="105" spans="1:6" ht="14.25" thickBot="1">
      <c r="A105" s="1769" t="s">
        <v>1398</v>
      </c>
      <c r="B105" s="1773" t="s">
        <v>2087</v>
      </c>
      <c r="C105" s="1783"/>
      <c r="D105" s="1783"/>
      <c r="E105" s="1783"/>
      <c r="F105" s="1775">
        <v>0.05</v>
      </c>
    </row>
    <row r="106" spans="1:6" ht="14.25" thickBot="1">
      <c r="A106" s="1769" t="s">
        <v>1398</v>
      </c>
      <c r="B106" s="1773" t="s">
        <v>2088</v>
      </c>
      <c r="C106" s="1783"/>
      <c r="D106" s="1783"/>
      <c r="E106" s="1783"/>
      <c r="F106" s="1775">
        <v>0.05</v>
      </c>
    </row>
    <row r="107" spans="1:6" ht="24.75" thickBot="1">
      <c r="A107" s="1769" t="s">
        <v>1398</v>
      </c>
      <c r="B107" s="1773" t="s">
        <v>2089</v>
      </c>
      <c r="C107" s="1783"/>
      <c r="D107" s="1783"/>
      <c r="E107" s="1783"/>
      <c r="F107" s="1775">
        <v>0.05</v>
      </c>
    </row>
    <row r="108" spans="1:6" ht="24.75" thickBot="1">
      <c r="A108" s="1769" t="s">
        <v>1398</v>
      </c>
      <c r="B108" s="1773" t="s">
        <v>2090</v>
      </c>
      <c r="C108" s="1783"/>
      <c r="D108" s="1783"/>
      <c r="E108" s="1783"/>
      <c r="F108" s="1775">
        <v>0.05</v>
      </c>
    </row>
    <row r="109" spans="1:6" ht="24.75" thickBot="1">
      <c r="A109" s="1777" t="s">
        <v>1398</v>
      </c>
      <c r="B109" s="1784" t="s">
        <v>2091</v>
      </c>
      <c r="C109" s="1780"/>
      <c r="D109" s="1780"/>
      <c r="E109" s="1780"/>
      <c r="F109" s="1785">
        <v>0.05</v>
      </c>
    </row>
    <row r="110" spans="1:6" ht="14.25" thickBot="1">
      <c r="A110" s="1769" t="s">
        <v>1400</v>
      </c>
      <c r="B110" s="1770" t="s">
        <v>2092</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2093</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2094</v>
      </c>
      <c r="C138" s="1774">
        <v>0.105</v>
      </c>
      <c r="D138" s="1774">
        <v>0.125</v>
      </c>
      <c r="E138" s="1774">
        <v>0.112</v>
      </c>
      <c r="F138" s="1782"/>
    </row>
    <row r="139" spans="1:6" ht="14.25" thickBot="1">
      <c r="A139" s="1769" t="s">
        <v>1400</v>
      </c>
      <c r="B139" s="1773" t="s">
        <v>2095</v>
      </c>
      <c r="C139" s="1774">
        <v>0.127</v>
      </c>
      <c r="D139" s="1774">
        <v>0.127</v>
      </c>
      <c r="E139" s="1774">
        <v>0.122</v>
      </c>
      <c r="F139" s="1775">
        <v>0.13</v>
      </c>
    </row>
    <row r="140" spans="1:6" ht="14.25" thickBot="1">
      <c r="A140" s="1769" t="s">
        <v>1400</v>
      </c>
      <c r="B140" s="1773" t="s">
        <v>2096</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2097</v>
      </c>
      <c r="C144" s="1787">
        <v>0.126</v>
      </c>
      <c r="D144" s="1787">
        <v>0.126</v>
      </c>
      <c r="E144" s="1787">
        <v>0.121</v>
      </c>
      <c r="F144" s="1782"/>
    </row>
    <row r="145" spans="1:6" ht="14.25" thickBot="1">
      <c r="A145" s="1777" t="s">
        <v>1400</v>
      </c>
      <c r="B145" s="1788" t="s">
        <v>2098</v>
      </c>
      <c r="C145" s="1789"/>
      <c r="D145" s="1789"/>
      <c r="E145" s="1789"/>
      <c r="F145" s="1790">
        <v>0.05</v>
      </c>
    </row>
    <row r="146" spans="1:6" ht="24.75" thickBot="1">
      <c r="A146" s="1791" t="s">
        <v>1400</v>
      </c>
      <c r="B146" s="1776" t="s">
        <v>2099</v>
      </c>
      <c r="C146" s="1783"/>
      <c r="D146" s="1783"/>
      <c r="E146" s="1783"/>
      <c r="F146" s="1792">
        <v>0.05</v>
      </c>
    </row>
    <row r="147" spans="1:6" ht="24.75" thickBot="1">
      <c r="A147" s="1769" t="s">
        <v>1400</v>
      </c>
      <c r="B147" s="1773" t="s">
        <v>2100</v>
      </c>
      <c r="C147" s="1783"/>
      <c r="D147" s="1783"/>
      <c r="E147" s="1783"/>
      <c r="F147" s="1775">
        <v>0.05</v>
      </c>
    </row>
    <row r="148" spans="1:6" ht="24.75" thickBot="1">
      <c r="A148" s="1769" t="s">
        <v>1400</v>
      </c>
      <c r="B148" s="1773" t="s">
        <v>2101</v>
      </c>
      <c r="C148" s="1783"/>
      <c r="D148" s="1783"/>
      <c r="E148" s="1783"/>
      <c r="F148" s="1775">
        <v>0.05</v>
      </c>
    </row>
    <row r="149" spans="1:6" ht="24.75" thickBot="1">
      <c r="A149" s="1769" t="s">
        <v>1400</v>
      </c>
      <c r="B149" s="1773" t="s">
        <v>2102</v>
      </c>
      <c r="C149" s="1783"/>
      <c r="D149" s="1783"/>
      <c r="E149" s="1783"/>
      <c r="F149" s="1775">
        <v>0.05</v>
      </c>
    </row>
    <row r="150" spans="1:6" ht="24.75" thickBot="1">
      <c r="A150" s="1769" t="s">
        <v>1400</v>
      </c>
      <c r="B150" s="1773" t="s">
        <v>2103</v>
      </c>
      <c r="C150" s="1783"/>
      <c r="D150" s="1783"/>
      <c r="E150" s="1783"/>
      <c r="F150" s="1775">
        <v>0.05</v>
      </c>
    </row>
    <row r="151" spans="1:6" ht="24.75" thickBot="1">
      <c r="A151" s="1769" t="s">
        <v>1400</v>
      </c>
      <c r="B151" s="1773" t="s">
        <v>2104</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2105</v>
      </c>
      <c r="C153" s="1783"/>
      <c r="D153" s="1783"/>
      <c r="E153" s="1783"/>
      <c r="F153" s="1775">
        <v>0.05</v>
      </c>
    </row>
    <row r="154" spans="1:6" ht="14.25" thickBot="1">
      <c r="A154" s="1769" t="s">
        <v>1400</v>
      </c>
      <c r="B154" s="1773" t="s">
        <v>2106</v>
      </c>
      <c r="C154" s="1783"/>
      <c r="D154" s="1783"/>
      <c r="E154" s="1783"/>
      <c r="F154" s="1775">
        <v>0.05</v>
      </c>
    </row>
    <row r="155" spans="1:6" ht="24.75" thickBot="1">
      <c r="A155" s="1769" t="s">
        <v>1400</v>
      </c>
      <c r="B155" s="1773" t="s">
        <v>2107</v>
      </c>
      <c r="C155" s="1783"/>
      <c r="D155" s="1783"/>
      <c r="E155" s="1783"/>
      <c r="F155" s="1775">
        <v>0.05</v>
      </c>
    </row>
    <row r="156" spans="1:6" ht="24.75" thickBot="1">
      <c r="A156" s="1769" t="s">
        <v>1400</v>
      </c>
      <c r="B156" s="1773" t="s">
        <v>2108</v>
      </c>
      <c r="C156" s="1783"/>
      <c r="D156" s="1783"/>
      <c r="E156" s="1783"/>
      <c r="F156" s="1775">
        <v>0.05</v>
      </c>
    </row>
    <row r="157" spans="1:6" ht="14.25" thickBot="1">
      <c r="A157" s="1777" t="s">
        <v>1400</v>
      </c>
      <c r="B157" s="1784" t="s">
        <v>2109</v>
      </c>
      <c r="C157" s="1780"/>
      <c r="D157" s="1780"/>
      <c r="E157" s="1780"/>
      <c r="F157" s="1785">
        <v>0.05</v>
      </c>
    </row>
    <row r="158" spans="1:6" ht="14.25" thickBot="1">
      <c r="A158" s="1769" t="s">
        <v>1402</v>
      </c>
      <c r="B158" s="1770" t="s">
        <v>2110</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2111</v>
      </c>
      <c r="C171" s="1774">
        <v>0.127</v>
      </c>
      <c r="D171" s="1774">
        <v>0.126</v>
      </c>
      <c r="E171" s="1774">
        <v>0.126</v>
      </c>
      <c r="F171" s="1775">
        <v>0.11799999999999999</v>
      </c>
    </row>
    <row r="172" spans="1:6" ht="14.25" thickBot="1">
      <c r="A172" s="1769" t="s">
        <v>1402</v>
      </c>
      <c r="B172" s="1773" t="s">
        <v>2112</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2113</v>
      </c>
      <c r="C174" s="1774">
        <v>0.13</v>
      </c>
      <c r="D174" s="1774">
        <v>0.13</v>
      </c>
      <c r="E174" s="1774">
        <v>0.13</v>
      </c>
      <c r="F174" s="1775">
        <v>0.13</v>
      </c>
    </row>
    <row r="175" spans="1:6" ht="14.25" thickBot="1">
      <c r="A175" s="1769" t="s">
        <v>1402</v>
      </c>
      <c r="B175" s="1773" t="s">
        <v>2114</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2115</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2116</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2117</v>
      </c>
      <c r="C185" s="1774">
        <v>0.127</v>
      </c>
      <c r="D185" s="1774">
        <v>0.127</v>
      </c>
      <c r="E185" s="1774">
        <v>0.128</v>
      </c>
      <c r="F185" s="1775">
        <v>0.13</v>
      </c>
    </row>
    <row r="186" spans="1:6" ht="24.75" thickBot="1">
      <c r="A186" s="1769" t="s">
        <v>1402</v>
      </c>
      <c r="B186" s="1773" t="s">
        <v>2118</v>
      </c>
      <c r="C186" s="1783"/>
      <c r="D186" s="1783"/>
      <c r="E186" s="1783"/>
      <c r="F186" s="1775">
        <v>0.05</v>
      </c>
    </row>
    <row r="187" spans="1:6" ht="14.25" thickBot="1">
      <c r="A187" s="1769" t="s">
        <v>1402</v>
      </c>
      <c r="B187" s="1773" t="s">
        <v>2119</v>
      </c>
      <c r="C187" s="1783"/>
      <c r="D187" s="1783"/>
      <c r="E187" s="1783"/>
      <c r="F187" s="1775">
        <v>0.05</v>
      </c>
    </row>
    <row r="188" spans="1:6" ht="14.25" thickBot="1">
      <c r="A188" s="1769" t="s">
        <v>1402</v>
      </c>
      <c r="B188" s="1773" t="s">
        <v>2120</v>
      </c>
      <c r="C188" s="1783"/>
      <c r="D188" s="1783"/>
      <c r="E188" s="1783"/>
      <c r="F188" s="1775">
        <v>0.05</v>
      </c>
    </row>
    <row r="189" spans="1:6" ht="24.75" thickBot="1">
      <c r="A189" s="1769" t="s">
        <v>1402</v>
      </c>
      <c r="B189" s="1773" t="s">
        <v>2121</v>
      </c>
      <c r="C189" s="1783"/>
      <c r="D189" s="1783"/>
      <c r="E189" s="1783"/>
      <c r="F189" s="1775">
        <v>0.05</v>
      </c>
    </row>
    <row r="190" spans="1:6" ht="24.75" thickBot="1">
      <c r="A190" s="1769" t="s">
        <v>1402</v>
      </c>
      <c r="B190" s="1773" t="s">
        <v>2122</v>
      </c>
      <c r="C190" s="1783"/>
      <c r="D190" s="1783"/>
      <c r="E190" s="1783"/>
      <c r="F190" s="1775">
        <v>0.05</v>
      </c>
    </row>
    <row r="191" spans="1:6" ht="24.75" thickBot="1">
      <c r="A191" s="1769" t="s">
        <v>1402</v>
      </c>
      <c r="B191" s="1773" t="s">
        <v>2123</v>
      </c>
      <c r="C191" s="1783"/>
      <c r="D191" s="1783"/>
      <c r="E191" s="1783"/>
      <c r="F191" s="1775">
        <v>0.05</v>
      </c>
    </row>
    <row r="192" spans="1:6" ht="24.75" thickBot="1">
      <c r="A192" s="1769" t="s">
        <v>1402</v>
      </c>
      <c r="B192" s="1773" t="s">
        <v>2124</v>
      </c>
      <c r="C192" s="1783"/>
      <c r="D192" s="1783"/>
      <c r="E192" s="1783"/>
      <c r="F192" s="1775">
        <v>0.05</v>
      </c>
    </row>
    <row r="193" spans="1:6" ht="24.75" thickBot="1">
      <c r="A193" s="1769" t="s">
        <v>1402</v>
      </c>
      <c r="B193" s="1773" t="s">
        <v>2125</v>
      </c>
      <c r="C193" s="1783"/>
      <c r="D193" s="1783"/>
      <c r="E193" s="1783"/>
      <c r="F193" s="1775">
        <v>0.05</v>
      </c>
    </row>
    <row r="194" spans="1:6" ht="24.75" thickBot="1">
      <c r="A194" s="1769" t="s">
        <v>1402</v>
      </c>
      <c r="B194" s="1773" t="s">
        <v>2126</v>
      </c>
      <c r="C194" s="1783"/>
      <c r="D194" s="1783"/>
      <c r="E194" s="1783"/>
      <c r="F194" s="1775">
        <v>0.05</v>
      </c>
    </row>
    <row r="195" spans="1:6" ht="14.25" thickBot="1">
      <c r="A195" s="1769" t="s">
        <v>1402</v>
      </c>
      <c r="B195" s="1773" t="s">
        <v>2127</v>
      </c>
      <c r="C195" s="1783"/>
      <c r="D195" s="1783"/>
      <c r="E195" s="1783"/>
      <c r="F195" s="1775">
        <v>0.05</v>
      </c>
    </row>
    <row r="196" spans="1:6" ht="24.75" thickBot="1">
      <c r="A196" s="1769" t="s">
        <v>1402</v>
      </c>
      <c r="B196" s="1773" t="s">
        <v>2128</v>
      </c>
      <c r="C196" s="1783"/>
      <c r="D196" s="1783"/>
      <c r="E196" s="1783"/>
      <c r="F196" s="1775">
        <v>0.05</v>
      </c>
    </row>
    <row r="197" spans="1:6" ht="24.75" thickBot="1">
      <c r="A197" s="1769" t="s">
        <v>1402</v>
      </c>
      <c r="B197" s="1773" t="s">
        <v>2129</v>
      </c>
      <c r="C197" s="1783"/>
      <c r="D197" s="1783"/>
      <c r="E197" s="1783"/>
      <c r="F197" s="1775">
        <v>0.05</v>
      </c>
    </row>
    <row r="198" spans="1:6" ht="24.75" thickBot="1">
      <c r="A198" s="1769" t="s">
        <v>1402</v>
      </c>
      <c r="B198" s="1773" t="s">
        <v>2130</v>
      </c>
      <c r="C198" s="1783"/>
      <c r="D198" s="1783"/>
      <c r="E198" s="1783"/>
      <c r="F198" s="1775">
        <v>0.05</v>
      </c>
    </row>
    <row r="199" spans="1:6" ht="24.75" thickBot="1">
      <c r="A199" s="1769" t="s">
        <v>1402</v>
      </c>
      <c r="B199" s="1773" t="s">
        <v>2131</v>
      </c>
      <c r="C199" s="1783"/>
      <c r="D199" s="1783"/>
      <c r="E199" s="1783"/>
      <c r="F199" s="1775">
        <v>0.05</v>
      </c>
    </row>
    <row r="200" spans="1:6" ht="24.75" thickBot="1">
      <c r="A200" s="1769" t="s">
        <v>1402</v>
      </c>
      <c r="B200" s="1773" t="s">
        <v>2132</v>
      </c>
      <c r="C200" s="1783"/>
      <c r="D200" s="1783"/>
      <c r="E200" s="1783"/>
      <c r="F200" s="1775">
        <v>0.05</v>
      </c>
    </row>
    <row r="201" spans="1:6" ht="24.75" thickBot="1">
      <c r="A201" s="1769" t="s">
        <v>1402</v>
      </c>
      <c r="B201" s="1773" t="s">
        <v>2133</v>
      </c>
      <c r="C201" s="1783"/>
      <c r="D201" s="1783"/>
      <c r="E201" s="1783"/>
      <c r="F201" s="1775">
        <v>0.05</v>
      </c>
    </row>
    <row r="202" spans="1:6" ht="24.75" thickBot="1">
      <c r="A202" s="1769" t="s">
        <v>1402</v>
      </c>
      <c r="B202" s="1773" t="s">
        <v>2134</v>
      </c>
      <c r="C202" s="1783"/>
      <c r="D202" s="1783"/>
      <c r="E202" s="1783"/>
      <c r="F202" s="1775">
        <v>0.05</v>
      </c>
    </row>
    <row r="203" spans="1:6" ht="24.75" thickBot="1">
      <c r="A203" s="1769" t="s">
        <v>1402</v>
      </c>
      <c r="B203" s="1773" t="s">
        <v>2135</v>
      </c>
      <c r="C203" s="1783"/>
      <c r="D203" s="1783"/>
      <c r="E203" s="1783"/>
      <c r="F203" s="1775">
        <v>0.05</v>
      </c>
    </row>
    <row r="204" spans="1:6" ht="14.25" thickBot="1">
      <c r="A204" s="1769" t="s">
        <v>1402</v>
      </c>
      <c r="B204" s="1773" t="s">
        <v>2136</v>
      </c>
      <c r="C204" s="1783"/>
      <c r="D204" s="1783"/>
      <c r="E204" s="1783"/>
      <c r="F204" s="1775">
        <v>0.05</v>
      </c>
    </row>
    <row r="205" spans="1:6" ht="14.25" thickBot="1">
      <c r="A205" s="1777" t="s">
        <v>1402</v>
      </c>
      <c r="B205" s="1784" t="s">
        <v>2137</v>
      </c>
      <c r="C205" s="1780"/>
      <c r="D205" s="1780"/>
      <c r="E205" s="1780"/>
      <c r="F205" s="1785">
        <v>0.05</v>
      </c>
    </row>
    <row r="206" spans="1:6" ht="14.25" thickBot="1">
      <c r="A206" s="1769" t="s">
        <v>1404</v>
      </c>
      <c r="B206" s="1770" t="s">
        <v>2138</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2139</v>
      </c>
      <c r="C210" s="1774">
        <v>0.15</v>
      </c>
      <c r="D210" s="1774">
        <v>0.15</v>
      </c>
      <c r="E210" s="1774">
        <v>0.15</v>
      </c>
      <c r="F210" s="1775">
        <v>0.13800000000000001</v>
      </c>
    </row>
    <row r="211" spans="1:6" ht="14.25" thickBot="1">
      <c r="A211" s="1769" t="s">
        <v>1404</v>
      </c>
      <c r="B211" s="1773" t="s">
        <v>2140</v>
      </c>
      <c r="C211" s="1774">
        <v>0.13700000000000001</v>
      </c>
      <c r="D211" s="1774">
        <v>0.13500000000000001</v>
      </c>
      <c r="E211" s="1774">
        <v>0.13600000000000001</v>
      </c>
      <c r="F211" s="1775">
        <v>0.1</v>
      </c>
    </row>
    <row r="212" spans="1:6" ht="14.25" thickBot="1">
      <c r="A212" s="1769" t="s">
        <v>1404</v>
      </c>
      <c r="B212" s="1773" t="s">
        <v>2141</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2142</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2143</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2144</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2145</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2146</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2147</v>
      </c>
      <c r="C231" s="1774">
        <v>0.128</v>
      </c>
      <c r="D231" s="1774">
        <v>0.125</v>
      </c>
      <c r="E231" s="1774">
        <v>0.13200000000000001</v>
      </c>
      <c r="F231" s="1782"/>
    </row>
    <row r="232" spans="1:6" ht="14.25" thickBot="1">
      <c r="A232" s="1769" t="s">
        <v>1404</v>
      </c>
      <c r="B232" s="1773" t="s">
        <v>2148</v>
      </c>
      <c r="C232" s="1774">
        <v>0.14499999999999999</v>
      </c>
      <c r="D232" s="1774">
        <v>0.14399999999999999</v>
      </c>
      <c r="E232" s="1774">
        <v>0.14599999999999999</v>
      </c>
      <c r="F232" s="1775">
        <v>0.13800000000000001</v>
      </c>
    </row>
    <row r="233" spans="1:6" ht="14.25" thickBot="1">
      <c r="A233" s="1769" t="s">
        <v>1404</v>
      </c>
      <c r="B233" s="1773" t="s">
        <v>2149</v>
      </c>
      <c r="C233" s="1774">
        <v>0.14499999999999999</v>
      </c>
      <c r="D233" s="1774">
        <v>0.14299999999999999</v>
      </c>
      <c r="E233" s="1774">
        <v>0.14199999999999999</v>
      </c>
      <c r="F233" s="1782"/>
    </row>
    <row r="234" spans="1:6" ht="14.25" thickBot="1">
      <c r="A234" s="1769" t="s">
        <v>1404</v>
      </c>
      <c r="B234" s="1773" t="s">
        <v>2150</v>
      </c>
      <c r="C234" s="1774">
        <v>0.14000000000000001</v>
      </c>
      <c r="D234" s="1774">
        <v>0.14000000000000001</v>
      </c>
      <c r="E234" s="1774">
        <v>0.14399999999999999</v>
      </c>
      <c r="F234" s="1782"/>
    </row>
    <row r="235" spans="1:6" ht="14.25" thickBot="1">
      <c r="A235" s="1769" t="s">
        <v>1404</v>
      </c>
      <c r="B235" s="1773" t="s">
        <v>2151</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2152</v>
      </c>
      <c r="C237" s="1783"/>
      <c r="D237" s="1783"/>
      <c r="E237" s="1783"/>
      <c r="F237" s="1775">
        <v>0.05</v>
      </c>
    </row>
    <row r="238" spans="1:6" ht="24.75" thickBot="1">
      <c r="A238" s="1769" t="s">
        <v>1404</v>
      </c>
      <c r="B238" s="1773" t="s">
        <v>2153</v>
      </c>
      <c r="C238" s="1783"/>
      <c r="D238" s="1783"/>
      <c r="E238" s="1783"/>
      <c r="F238" s="1775">
        <v>0.05</v>
      </c>
    </row>
    <row r="239" spans="1:6" ht="24.75" thickBot="1">
      <c r="A239" s="1769" t="s">
        <v>1404</v>
      </c>
      <c r="B239" s="1773" t="s">
        <v>2154</v>
      </c>
      <c r="C239" s="1783"/>
      <c r="D239" s="1783"/>
      <c r="E239" s="1783"/>
      <c r="F239" s="1775">
        <v>0.05</v>
      </c>
    </row>
    <row r="240" spans="1:6" ht="24.75" thickBot="1">
      <c r="A240" s="1769" t="s">
        <v>1404</v>
      </c>
      <c r="B240" s="1773" t="s">
        <v>2155</v>
      </c>
      <c r="C240" s="1783"/>
      <c r="D240" s="1783"/>
      <c r="E240" s="1783"/>
      <c r="F240" s="1775">
        <v>0.05</v>
      </c>
    </row>
    <row r="241" spans="1:6" ht="24.75" thickBot="1">
      <c r="A241" s="1769" t="s">
        <v>1404</v>
      </c>
      <c r="B241" s="1773" t="s">
        <v>2156</v>
      </c>
      <c r="C241" s="1783"/>
      <c r="D241" s="1783"/>
      <c r="E241" s="1783"/>
      <c r="F241" s="1775">
        <v>0.05</v>
      </c>
    </row>
    <row r="242" spans="1:6" ht="24.75" thickBot="1">
      <c r="A242" s="1769" t="s">
        <v>1404</v>
      </c>
      <c r="B242" s="1773" t="s">
        <v>2157</v>
      </c>
      <c r="C242" s="1783"/>
      <c r="D242" s="1783"/>
      <c r="E242" s="1783"/>
      <c r="F242" s="1775">
        <v>0.05</v>
      </c>
    </row>
    <row r="243" spans="1:6" ht="24.75" thickBot="1">
      <c r="A243" s="1769" t="s">
        <v>1404</v>
      </c>
      <c r="B243" s="1773" t="s">
        <v>2158</v>
      </c>
      <c r="C243" s="1783"/>
      <c r="D243" s="1783"/>
      <c r="E243" s="1783"/>
      <c r="F243" s="1775">
        <v>0.05</v>
      </c>
    </row>
    <row r="244" spans="1:6" ht="24.75" thickBot="1">
      <c r="A244" s="1777" t="s">
        <v>1404</v>
      </c>
      <c r="B244" s="1784" t="s">
        <v>2159</v>
      </c>
      <c r="C244" s="1780"/>
      <c r="D244" s="1780"/>
      <c r="E244" s="1780"/>
      <c r="F244" s="1785">
        <v>0.05</v>
      </c>
    </row>
    <row r="245" spans="1:6" ht="14.25" thickBot="1">
      <c r="A245" s="1769" t="s">
        <v>1406</v>
      </c>
      <c r="B245" s="1770" t="s">
        <v>2160</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2161</v>
      </c>
      <c r="C247" s="1774">
        <v>0.15</v>
      </c>
      <c r="D247" s="1774">
        <v>0.15</v>
      </c>
      <c r="E247" s="1774">
        <v>0.15</v>
      </c>
      <c r="F247" s="1775">
        <v>0.15</v>
      </c>
    </row>
    <row r="248" spans="1:6" ht="14.25" thickBot="1">
      <c r="A248" s="1769" t="s">
        <v>1406</v>
      </c>
      <c r="B248" s="1773" t="s">
        <v>2162</v>
      </c>
      <c r="C248" s="1774">
        <v>0.15</v>
      </c>
      <c r="D248" s="1774">
        <v>0.15</v>
      </c>
      <c r="E248" s="1774">
        <v>0.15</v>
      </c>
      <c r="F248" s="1775">
        <v>0.14000000000000001</v>
      </c>
    </row>
    <row r="249" spans="1:6" ht="14.25" thickBot="1">
      <c r="A249" s="1769" t="s">
        <v>1406</v>
      </c>
      <c r="B249" s="1773" t="s">
        <v>2163</v>
      </c>
      <c r="C249" s="1774">
        <v>0.15</v>
      </c>
      <c r="D249" s="1774">
        <v>0.14899999999999999</v>
      </c>
      <c r="E249" s="1774">
        <v>0.15</v>
      </c>
      <c r="F249" s="1775">
        <v>0.1</v>
      </c>
    </row>
    <row r="250" spans="1:6" ht="14.25" thickBot="1">
      <c r="A250" s="1769" t="s">
        <v>1406</v>
      </c>
      <c r="B250" s="1773" t="s">
        <v>2164</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2165</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2166</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2167</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2168</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2169</v>
      </c>
      <c r="C273" s="1774">
        <v>0.14199999999999999</v>
      </c>
      <c r="D273" s="1774">
        <v>0.14299999999999999</v>
      </c>
      <c r="E273" s="1774">
        <v>0.15</v>
      </c>
      <c r="F273" s="1775">
        <v>0.1</v>
      </c>
    </row>
    <row r="274" spans="1:6" ht="14.25" thickBot="1">
      <c r="A274" s="1769" t="s">
        <v>1406</v>
      </c>
      <c r="B274" s="1773" t="s">
        <v>2170</v>
      </c>
      <c r="C274" s="1774">
        <v>0.14799999999999999</v>
      </c>
      <c r="D274" s="1774">
        <v>0.14799999999999999</v>
      </c>
      <c r="E274" s="1774">
        <v>0.15</v>
      </c>
      <c r="F274" s="1775">
        <v>6.7000000000000004E-2</v>
      </c>
    </row>
    <row r="275" spans="1:6" ht="14.25" thickBot="1">
      <c r="A275" s="1769" t="s">
        <v>1406</v>
      </c>
      <c r="B275" s="1773" t="s">
        <v>2171</v>
      </c>
      <c r="C275" s="1774">
        <v>0.15</v>
      </c>
      <c r="D275" s="1774">
        <v>0.15</v>
      </c>
      <c r="E275" s="1774">
        <v>0.15</v>
      </c>
      <c r="F275" s="1775">
        <v>0.15</v>
      </c>
    </row>
    <row r="276" spans="1:6" ht="14.25" thickBot="1">
      <c r="A276" s="1769" t="s">
        <v>1406</v>
      </c>
      <c r="B276" s="1773" t="s">
        <v>2172</v>
      </c>
      <c r="C276" s="1774">
        <v>0.14499999999999999</v>
      </c>
      <c r="D276" s="1774">
        <v>0.14299999999999999</v>
      </c>
      <c r="E276" s="1774">
        <v>0.15</v>
      </c>
      <c r="F276" s="1775">
        <v>5.8999999999999997E-2</v>
      </c>
    </row>
    <row r="277" spans="1:6" ht="14.25" thickBot="1">
      <c r="A277" s="1769" t="s">
        <v>1406</v>
      </c>
      <c r="B277" s="1773" t="s">
        <v>2173</v>
      </c>
      <c r="C277" s="1774">
        <v>0.15</v>
      </c>
      <c r="D277" s="1774">
        <v>0.15</v>
      </c>
      <c r="E277" s="1774">
        <v>0.15</v>
      </c>
      <c r="F277" s="1775">
        <v>0.121</v>
      </c>
    </row>
    <row r="278" spans="1:6" ht="14.25" thickBot="1">
      <c r="A278" s="1769" t="s">
        <v>1406</v>
      </c>
      <c r="B278" s="1773" t="s">
        <v>2174</v>
      </c>
      <c r="C278" s="1774">
        <v>0.15</v>
      </c>
      <c r="D278" s="1774">
        <v>0.15</v>
      </c>
      <c r="E278" s="1774">
        <v>0.15</v>
      </c>
      <c r="F278" s="1775">
        <v>0.13800000000000001</v>
      </c>
    </row>
    <row r="279" spans="1:6" ht="24.75" thickBot="1">
      <c r="A279" s="1769" t="s">
        <v>1406</v>
      </c>
      <c r="B279" s="1773" t="s">
        <v>2175</v>
      </c>
      <c r="C279" s="1783"/>
      <c r="D279" s="1783"/>
      <c r="E279" s="1783"/>
      <c r="F279" s="1775">
        <v>0.05</v>
      </c>
    </row>
    <row r="280" spans="1:6" ht="24.75" thickBot="1">
      <c r="A280" s="1769" t="s">
        <v>1406</v>
      </c>
      <c r="B280" s="1773" t="s">
        <v>2176</v>
      </c>
      <c r="C280" s="1783"/>
      <c r="D280" s="1783"/>
      <c r="E280" s="1783"/>
      <c r="F280" s="1775">
        <v>0.05</v>
      </c>
    </row>
    <row r="281" spans="1:6" ht="24.75" thickBot="1">
      <c r="A281" s="1769" t="s">
        <v>1406</v>
      </c>
      <c r="B281" s="1773" t="s">
        <v>2177</v>
      </c>
      <c r="C281" s="1783"/>
      <c r="D281" s="1783"/>
      <c r="E281" s="1783"/>
      <c r="F281" s="1775">
        <v>0.05</v>
      </c>
    </row>
    <row r="282" spans="1:6" ht="24.75" thickBot="1">
      <c r="A282" s="1769" t="s">
        <v>1406</v>
      </c>
      <c r="B282" s="1773" t="s">
        <v>2178</v>
      </c>
      <c r="C282" s="1783"/>
      <c r="D282" s="1783"/>
      <c r="E282" s="1783"/>
      <c r="F282" s="1775">
        <v>0.05</v>
      </c>
    </row>
    <row r="283" spans="1:6" ht="24.75" thickBot="1">
      <c r="A283" s="1769" t="s">
        <v>1406</v>
      </c>
      <c r="B283" s="1773" t="s">
        <v>2179</v>
      </c>
      <c r="C283" s="1783"/>
      <c r="D283" s="1783"/>
      <c r="E283" s="1783"/>
      <c r="F283" s="1775">
        <v>0.05</v>
      </c>
    </row>
    <row r="284" spans="1:6" ht="24.75" thickBot="1">
      <c r="A284" s="1769" t="s">
        <v>1406</v>
      </c>
      <c r="B284" s="1773" t="s">
        <v>2180</v>
      </c>
      <c r="C284" s="1783"/>
      <c r="D284" s="1783"/>
      <c r="E284" s="1783"/>
      <c r="F284" s="1775">
        <v>0.05</v>
      </c>
    </row>
    <row r="285" spans="1:6" ht="24.75" thickBot="1">
      <c r="A285" s="1769" t="s">
        <v>1406</v>
      </c>
      <c r="B285" s="1773" t="s">
        <v>2181</v>
      </c>
      <c r="C285" s="1783"/>
      <c r="D285" s="1783"/>
      <c r="E285" s="1783"/>
      <c r="F285" s="1775">
        <v>0.05</v>
      </c>
    </row>
    <row r="286" spans="1:6" ht="24.75" thickBot="1">
      <c r="A286" s="1769" t="s">
        <v>1406</v>
      </c>
      <c r="B286" s="1773" t="s">
        <v>2182</v>
      </c>
      <c r="C286" s="1783"/>
      <c r="D286" s="1783"/>
      <c r="E286" s="1783"/>
      <c r="F286" s="1775">
        <v>0.05</v>
      </c>
    </row>
    <row r="287" spans="1:6" ht="24.75" thickBot="1">
      <c r="A287" s="1769" t="s">
        <v>1406</v>
      </c>
      <c r="B287" s="1773" t="s">
        <v>2183</v>
      </c>
      <c r="C287" s="1783"/>
      <c r="D287" s="1783"/>
      <c r="E287" s="1783"/>
      <c r="F287" s="1775">
        <v>0.05</v>
      </c>
    </row>
    <row r="288" spans="1:6" ht="24.75" thickBot="1">
      <c r="A288" s="1769" t="s">
        <v>1406</v>
      </c>
      <c r="B288" s="1773" t="s">
        <v>2184</v>
      </c>
      <c r="C288" s="1783"/>
      <c r="D288" s="1783"/>
      <c r="E288" s="1783"/>
      <c r="F288" s="1775">
        <v>0.05</v>
      </c>
    </row>
    <row r="289" spans="1:6" ht="24.75" thickBot="1">
      <c r="A289" s="1777" t="s">
        <v>1406</v>
      </c>
      <c r="B289" s="1784" t="s">
        <v>2185</v>
      </c>
      <c r="C289" s="1780"/>
      <c r="D289" s="1780"/>
      <c r="E289" s="1780"/>
      <c r="F289" s="1785">
        <v>0.05</v>
      </c>
    </row>
    <row r="290" spans="1:6" ht="14.25" thickBot="1">
      <c r="A290" s="1769" t="s">
        <v>1410</v>
      </c>
      <c r="B290" s="1770" t="s">
        <v>2186</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2187</v>
      </c>
      <c r="C292" s="1774">
        <v>0.15</v>
      </c>
      <c r="D292" s="1774">
        <v>0.15</v>
      </c>
      <c r="E292" s="1774">
        <v>0.15</v>
      </c>
      <c r="F292" s="1775">
        <v>0.14699999999999999</v>
      </c>
    </row>
    <row r="293" spans="1:6" ht="14.25" thickBot="1">
      <c r="A293" s="1769" t="s">
        <v>1410</v>
      </c>
      <c r="B293" s="1773" t="s">
        <v>2188</v>
      </c>
      <c r="C293" s="1783"/>
      <c r="D293" s="1783"/>
      <c r="E293" s="1783"/>
      <c r="F293" s="1775">
        <v>0.1</v>
      </c>
    </row>
    <row r="294" spans="1:6" ht="14.25" thickBot="1">
      <c r="A294" s="1769" t="s">
        <v>1410</v>
      </c>
      <c r="B294" s="1773" t="s">
        <v>2189</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2190</v>
      </c>
      <c r="C296" s="1774">
        <v>0.15</v>
      </c>
      <c r="D296" s="1774">
        <v>0.15</v>
      </c>
      <c r="E296" s="1774">
        <v>0.15</v>
      </c>
      <c r="F296" s="1775">
        <v>0.15</v>
      </c>
    </row>
    <row r="297" spans="1:6" ht="14.25" thickBot="1">
      <c r="A297" s="1769" t="s">
        <v>1410</v>
      </c>
      <c r="B297" s="1773" t="s">
        <v>2191</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2192</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2193</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2194</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2195</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2196</v>
      </c>
      <c r="C310" s="1774">
        <v>0.15</v>
      </c>
      <c r="D310" s="1774">
        <v>0.15</v>
      </c>
      <c r="E310" s="1774">
        <v>0.15</v>
      </c>
      <c r="F310" s="1775">
        <v>0.13700000000000001</v>
      </c>
    </row>
    <row r="311" spans="1:6" ht="14.25" thickBot="1">
      <c r="A311" s="1769" t="s">
        <v>1410</v>
      </c>
      <c r="B311" s="1773" t="s">
        <v>2197</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2198</v>
      </c>
      <c r="C313" s="1774">
        <v>0.15</v>
      </c>
      <c r="D313" s="1774">
        <v>0.15</v>
      </c>
      <c r="E313" s="1774">
        <v>0.15</v>
      </c>
      <c r="F313" s="1775">
        <v>0.15</v>
      </c>
    </row>
    <row r="314" spans="1:6" ht="24.75" thickBot="1">
      <c r="A314" s="1769" t="s">
        <v>1410</v>
      </c>
      <c r="B314" s="1773" t="s">
        <v>2199</v>
      </c>
      <c r="C314" s="1783"/>
      <c r="D314" s="1783"/>
      <c r="E314" s="1783"/>
      <c r="F314" s="1775">
        <v>0.05</v>
      </c>
    </row>
    <row r="315" spans="1:6" ht="24.75" thickBot="1">
      <c r="A315" s="1769" t="s">
        <v>1410</v>
      </c>
      <c r="B315" s="1773" t="s">
        <v>2200</v>
      </c>
      <c r="C315" s="1783"/>
      <c r="D315" s="1783"/>
      <c r="E315" s="1783"/>
      <c r="F315" s="1775">
        <v>0.05</v>
      </c>
    </row>
    <row r="316" spans="1:6" ht="24.75" thickBot="1">
      <c r="A316" s="1777" t="s">
        <v>1410</v>
      </c>
      <c r="B316" s="1784" t="s">
        <v>2201</v>
      </c>
      <c r="C316" s="1780"/>
      <c r="D316" s="1780"/>
      <c r="E316" s="1780"/>
      <c r="F316" s="1785">
        <v>0.05</v>
      </c>
    </row>
    <row r="317" spans="1:6" ht="14.25" thickBot="1">
      <c r="A317" s="1769" t="s">
        <v>2202</v>
      </c>
      <c r="B317" s="1770" t="s">
        <v>2203</v>
      </c>
      <c r="C317" s="1771">
        <v>0.15</v>
      </c>
      <c r="D317" s="1771">
        <v>0.15</v>
      </c>
      <c r="E317" s="1771">
        <v>0.15</v>
      </c>
      <c r="F317" s="1772">
        <v>0.15</v>
      </c>
    </row>
    <row r="318" spans="1:6" ht="14.25" thickBot="1">
      <c r="A318" s="1769" t="s">
        <v>2202</v>
      </c>
      <c r="B318" s="1773" t="s">
        <v>2204</v>
      </c>
      <c r="C318" s="1774">
        <v>0.107</v>
      </c>
      <c r="D318" s="1774">
        <v>0.11</v>
      </c>
      <c r="E318" s="1774">
        <v>0.112</v>
      </c>
      <c r="F318" s="1782"/>
    </row>
    <row r="319" spans="1:6" ht="14.25" thickBot="1">
      <c r="A319" s="1769" t="s">
        <v>2202</v>
      </c>
      <c r="B319" s="1773" t="s">
        <v>2205</v>
      </c>
      <c r="C319" s="1774">
        <v>0.15</v>
      </c>
      <c r="D319" s="1774">
        <v>0.15</v>
      </c>
      <c r="E319" s="1774">
        <v>0.15</v>
      </c>
      <c r="F319" s="1775">
        <v>0.15</v>
      </c>
    </row>
    <row r="320" spans="1:6" ht="14.25" thickBot="1">
      <c r="A320" s="1769" t="s">
        <v>2202</v>
      </c>
      <c r="B320" s="1773" t="s">
        <v>1098</v>
      </c>
      <c r="C320" s="1774">
        <v>0.15</v>
      </c>
      <c r="D320" s="1774">
        <v>0.15</v>
      </c>
      <c r="E320" s="1774">
        <v>0.15</v>
      </c>
      <c r="F320" s="1782"/>
    </row>
    <row r="321" spans="1:6" ht="14.25" thickBot="1">
      <c r="A321" s="1769" t="s">
        <v>2202</v>
      </c>
      <c r="B321" s="1773" t="s">
        <v>2206</v>
      </c>
      <c r="C321" s="1774">
        <v>0.15</v>
      </c>
      <c r="D321" s="1774">
        <v>0.15</v>
      </c>
      <c r="E321" s="1774">
        <v>0.15</v>
      </c>
      <c r="F321" s="1782"/>
    </row>
    <row r="322" spans="1:6" ht="14.25" thickBot="1">
      <c r="A322" s="1769" t="s">
        <v>2202</v>
      </c>
      <c r="B322" s="1773" t="s">
        <v>2207</v>
      </c>
      <c r="C322" s="1774">
        <v>0.15</v>
      </c>
      <c r="D322" s="1774">
        <v>0.15</v>
      </c>
      <c r="E322" s="1774">
        <v>0.15</v>
      </c>
      <c r="F322" s="1775">
        <v>0.15</v>
      </c>
    </row>
    <row r="323" spans="1:6" ht="14.25" thickBot="1">
      <c r="A323" s="1769" t="s">
        <v>2202</v>
      </c>
      <c r="B323" s="1773" t="s">
        <v>2208</v>
      </c>
      <c r="C323" s="1774">
        <v>0.15</v>
      </c>
      <c r="D323" s="1774">
        <v>0.15</v>
      </c>
      <c r="E323" s="1774">
        <v>0.15</v>
      </c>
      <c r="F323" s="1782"/>
    </row>
    <row r="324" spans="1:6" ht="14.25" thickBot="1">
      <c r="A324" s="1769" t="s">
        <v>2202</v>
      </c>
      <c r="B324" s="1773" t="s">
        <v>2209</v>
      </c>
      <c r="C324" s="1774">
        <v>0.15</v>
      </c>
      <c r="D324" s="1774">
        <v>0.15</v>
      </c>
      <c r="E324" s="1774">
        <v>0.15</v>
      </c>
      <c r="F324" s="1782"/>
    </row>
    <row r="325" spans="1:6" ht="14.25" thickBot="1">
      <c r="A325" s="1769" t="s">
        <v>2202</v>
      </c>
      <c r="B325" s="1773" t="s">
        <v>2210</v>
      </c>
      <c r="C325" s="1774">
        <v>0.15</v>
      </c>
      <c r="D325" s="1774">
        <v>0.15</v>
      </c>
      <c r="E325" s="1774">
        <v>0.15</v>
      </c>
      <c r="F325" s="1775">
        <v>0.14699999999999999</v>
      </c>
    </row>
    <row r="326" spans="1:6" ht="14.25" thickBot="1">
      <c r="A326" s="1769" t="s">
        <v>2202</v>
      </c>
      <c r="B326" s="1773" t="s">
        <v>1167</v>
      </c>
      <c r="C326" s="1774">
        <v>0.15</v>
      </c>
      <c r="D326" s="1774">
        <v>0.15</v>
      </c>
      <c r="E326" s="1774">
        <v>0.15</v>
      </c>
      <c r="F326" s="1782"/>
    </row>
    <row r="327" spans="1:6" ht="14.25" thickBot="1">
      <c r="A327" s="1769" t="s">
        <v>2202</v>
      </c>
      <c r="B327" s="1773" t="s">
        <v>2211</v>
      </c>
      <c r="C327" s="1774">
        <v>0.15</v>
      </c>
      <c r="D327" s="1774">
        <v>0.15</v>
      </c>
      <c r="E327" s="1774">
        <v>0.15</v>
      </c>
      <c r="F327" s="1775">
        <v>0.15</v>
      </c>
    </row>
    <row r="328" spans="1:6" ht="14.25" thickBot="1">
      <c r="A328" s="1769" t="s">
        <v>2202</v>
      </c>
      <c r="B328" s="1773" t="s">
        <v>1187</v>
      </c>
      <c r="C328" s="1774">
        <v>0.15</v>
      </c>
      <c r="D328" s="1774">
        <v>0.15</v>
      </c>
      <c r="E328" s="1774">
        <v>0.15</v>
      </c>
      <c r="F328" s="1775">
        <v>0.14099999999999999</v>
      </c>
    </row>
    <row r="329" spans="1:6" ht="14.25" thickBot="1">
      <c r="A329" s="1769" t="s">
        <v>2202</v>
      </c>
      <c r="B329" s="1773" t="s">
        <v>1197</v>
      </c>
      <c r="C329" s="1774">
        <v>0.15</v>
      </c>
      <c r="D329" s="1774">
        <v>0.15</v>
      </c>
      <c r="E329" s="1774">
        <v>0.15</v>
      </c>
      <c r="F329" s="1775">
        <v>0.15</v>
      </c>
    </row>
    <row r="330" spans="1:6" ht="14.25" thickBot="1">
      <c r="A330" s="1769" t="s">
        <v>2202</v>
      </c>
      <c r="B330" s="1773" t="s">
        <v>1207</v>
      </c>
      <c r="C330" s="1774">
        <v>0.15</v>
      </c>
      <c r="D330" s="1774">
        <v>0.15</v>
      </c>
      <c r="E330" s="1774">
        <v>0.15</v>
      </c>
      <c r="F330" s="1782"/>
    </row>
    <row r="331" spans="1:6" ht="14.25" thickBot="1">
      <c r="A331" s="1769" t="s">
        <v>2202</v>
      </c>
      <c r="B331" s="1773" t="s">
        <v>2212</v>
      </c>
      <c r="C331" s="1774">
        <v>0.15</v>
      </c>
      <c r="D331" s="1774">
        <v>0.15</v>
      </c>
      <c r="E331" s="1774">
        <v>0.15</v>
      </c>
      <c r="F331" s="1775">
        <v>0.15</v>
      </c>
    </row>
    <row r="332" spans="1:6" ht="14.25" thickBot="1">
      <c r="A332" s="1769" t="s">
        <v>2202</v>
      </c>
      <c r="B332" s="1773" t="s">
        <v>1227</v>
      </c>
      <c r="C332" s="1774">
        <v>0.15</v>
      </c>
      <c r="D332" s="1774">
        <v>0.15</v>
      </c>
      <c r="E332" s="1774">
        <v>0.15</v>
      </c>
      <c r="F332" s="1775">
        <v>0.15</v>
      </c>
    </row>
    <row r="333" spans="1:6" ht="14.25" thickBot="1">
      <c r="A333" s="1769" t="s">
        <v>2202</v>
      </c>
      <c r="B333" s="1773" t="s">
        <v>2213</v>
      </c>
      <c r="C333" s="1774">
        <v>0.15</v>
      </c>
      <c r="D333" s="1774">
        <v>0.15</v>
      </c>
      <c r="E333" s="1774">
        <v>0.15</v>
      </c>
      <c r="F333" s="1775">
        <v>0.14099999999999999</v>
      </c>
    </row>
    <row r="334" spans="1:6" ht="14.25" thickBot="1">
      <c r="A334" s="1769" t="s">
        <v>2202</v>
      </c>
      <c r="B334" s="1773" t="s">
        <v>1247</v>
      </c>
      <c r="C334" s="1774">
        <v>0.15</v>
      </c>
      <c r="D334" s="1774">
        <v>0.15</v>
      </c>
      <c r="E334" s="1774">
        <v>0.15</v>
      </c>
      <c r="F334" s="1775">
        <v>0.15</v>
      </c>
    </row>
    <row r="335" spans="1:6" ht="14.25" thickBot="1">
      <c r="A335" s="1769" t="s">
        <v>2202</v>
      </c>
      <c r="B335" s="1773" t="s">
        <v>1257</v>
      </c>
      <c r="C335" s="1774">
        <v>0.15</v>
      </c>
      <c r="D335" s="1774">
        <v>0.15</v>
      </c>
      <c r="E335" s="1774">
        <v>0.15</v>
      </c>
      <c r="F335" s="1782"/>
    </row>
    <row r="336" spans="1:6" ht="14.25" thickBot="1">
      <c r="A336" s="1769" t="s">
        <v>2202</v>
      </c>
      <c r="B336" s="1773" t="s">
        <v>2214</v>
      </c>
      <c r="C336" s="1774">
        <v>0.15</v>
      </c>
      <c r="D336" s="1774">
        <v>0.15</v>
      </c>
      <c r="E336" s="1774">
        <v>0.15</v>
      </c>
      <c r="F336" s="1775">
        <v>0.11799999999999999</v>
      </c>
    </row>
    <row r="337" spans="1:6" ht="14.25" thickBot="1">
      <c r="A337" s="1777" t="s">
        <v>2202</v>
      </c>
      <c r="B337" s="1784" t="s">
        <v>1275</v>
      </c>
      <c r="C337" s="1780"/>
      <c r="D337" s="1780"/>
      <c r="E337" s="1780"/>
      <c r="F337" s="1785">
        <v>0.14299999999999999</v>
      </c>
    </row>
    <row r="338" spans="1:6" ht="14.25" thickBot="1">
      <c r="A338" s="1769" t="s">
        <v>2215</v>
      </c>
      <c r="B338" s="1770" t="s">
        <v>2216</v>
      </c>
      <c r="C338" s="1771">
        <v>0.15</v>
      </c>
      <c r="D338" s="1771">
        <v>0.15</v>
      </c>
      <c r="E338" s="1771">
        <v>0.15</v>
      </c>
      <c r="F338" s="1793"/>
    </row>
    <row r="339" spans="1:6" ht="14.25" thickBot="1">
      <c r="A339" s="1769" t="s">
        <v>2215</v>
      </c>
      <c r="B339" s="1773" t="s">
        <v>2217</v>
      </c>
      <c r="C339" s="1774">
        <v>0.15</v>
      </c>
      <c r="D339" s="1774">
        <v>0.15</v>
      </c>
      <c r="E339" s="1774">
        <v>0.15</v>
      </c>
      <c r="F339" s="1782"/>
    </row>
    <row r="340" spans="1:6" ht="14.25" thickBot="1">
      <c r="A340" s="1769" t="s">
        <v>2215</v>
      </c>
      <c r="B340" s="1773" t="s">
        <v>2218</v>
      </c>
      <c r="C340" s="1774">
        <v>0.15</v>
      </c>
      <c r="D340" s="1774">
        <v>0.15</v>
      </c>
      <c r="E340" s="1774">
        <v>0.15</v>
      </c>
      <c r="F340" s="1782"/>
    </row>
    <row r="341" spans="1:6" ht="14.25" thickBot="1">
      <c r="A341" s="1769" t="s">
        <v>2219</v>
      </c>
      <c r="B341" s="1773" t="s">
        <v>2220</v>
      </c>
      <c r="C341" s="1774">
        <v>0.15</v>
      </c>
      <c r="D341" s="1774">
        <v>0.15</v>
      </c>
      <c r="E341" s="1774">
        <v>0.15</v>
      </c>
      <c r="F341" s="1775">
        <v>0.15</v>
      </c>
    </row>
    <row r="342" spans="1:6" ht="14.25" thickBot="1">
      <c r="A342" s="1769" t="s">
        <v>2215</v>
      </c>
      <c r="B342" s="1773" t="s">
        <v>2221</v>
      </c>
      <c r="C342" s="1774">
        <v>0.15</v>
      </c>
      <c r="D342" s="1774">
        <v>0.15</v>
      </c>
      <c r="E342" s="1774">
        <v>0.15</v>
      </c>
      <c r="F342" s="1775">
        <v>0.15</v>
      </c>
    </row>
    <row r="343" spans="1:6" ht="14.25" thickBot="1">
      <c r="A343" s="1769" t="s">
        <v>2215</v>
      </c>
      <c r="B343" s="1773" t="s">
        <v>2222</v>
      </c>
      <c r="C343" s="1774">
        <v>0.15</v>
      </c>
      <c r="D343" s="1774">
        <v>0.15</v>
      </c>
      <c r="E343" s="1774">
        <v>0.15</v>
      </c>
      <c r="F343" s="1775">
        <v>0.15</v>
      </c>
    </row>
    <row r="344" spans="1:6" ht="14.25" thickBot="1">
      <c r="A344" s="1777" t="s">
        <v>2215</v>
      </c>
      <c r="B344" s="1784" t="s">
        <v>2223</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5"/>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91" t="s">
        <v>2552</v>
      </c>
      <c r="C1" s="3591"/>
      <c r="D1" s="3591"/>
      <c r="E1" s="3591"/>
      <c r="F1" s="3591"/>
      <c r="G1" s="3590" t="s">
        <v>2553</v>
      </c>
      <c r="H1" s="3590"/>
      <c r="I1" s="3590"/>
      <c r="J1" s="3590"/>
      <c r="K1" s="3590"/>
      <c r="L1" s="3590"/>
      <c r="N1" s="3590" t="s">
        <v>2554</v>
      </c>
      <c r="O1" s="3590"/>
      <c r="P1" s="3590"/>
      <c r="Q1" s="3590"/>
      <c r="S1" s="3590" t="s">
        <v>2555</v>
      </c>
      <c r="T1" s="3590"/>
      <c r="U1" s="3590"/>
      <c r="V1" s="3590"/>
      <c r="X1" s="3589" t="s">
        <v>2615</v>
      </c>
      <c r="Y1" s="3590"/>
      <c r="Z1" s="3590"/>
      <c r="AA1" s="3590"/>
      <c r="AB1" s="3590"/>
      <c r="AD1" s="3589" t="s">
        <v>2619</v>
      </c>
      <c r="AE1" s="3590"/>
      <c r="AF1" s="3590"/>
      <c r="AG1" s="3590"/>
      <c r="AH1" s="3590"/>
    </row>
    <row r="2" spans="1:34" s="2865" customFormat="1" ht="14.25" thickBot="1">
      <c r="B2" s="2866" t="s">
        <v>2556</v>
      </c>
      <c r="C2" s="2866" t="s">
        <v>2617</v>
      </c>
      <c r="D2" s="2867" t="s">
        <v>1635</v>
      </c>
      <c r="E2" s="2867" t="s">
        <v>1938</v>
      </c>
      <c r="F2" s="2866" t="s">
        <v>2618</v>
      </c>
      <c r="G2" s="2868"/>
      <c r="I2" s="2866" t="s">
        <v>2905</v>
      </c>
      <c r="J2" s="2867" t="s">
        <v>2907</v>
      </c>
      <c r="K2" s="2867" t="s">
        <v>2908</v>
      </c>
      <c r="L2" s="2866" t="s">
        <v>2909</v>
      </c>
      <c r="N2" s="2866" t="s">
        <v>2556</v>
      </c>
      <c r="O2" s="2867" t="s">
        <v>2906</v>
      </c>
      <c r="P2" s="2867" t="s">
        <v>1938</v>
      </c>
      <c r="Q2" s="2866" t="s">
        <v>2618</v>
      </c>
      <c r="S2" s="2866" t="s">
        <v>2556</v>
      </c>
      <c r="T2" s="2867" t="s">
        <v>2906</v>
      </c>
      <c r="U2" s="2867" t="s">
        <v>1938</v>
      </c>
      <c r="V2" s="2866" t="s">
        <v>2618</v>
      </c>
      <c r="X2" s="2866" t="s">
        <v>2556</v>
      </c>
      <c r="Y2" s="2866" t="s">
        <v>2617</v>
      </c>
      <c r="Z2" s="2867" t="s">
        <v>1635</v>
      </c>
      <c r="AA2" s="2867" t="s">
        <v>1938</v>
      </c>
      <c r="AB2" s="2866" t="s">
        <v>2618</v>
      </c>
      <c r="AD2" s="2866" t="s">
        <v>2556</v>
      </c>
      <c r="AE2" s="2866" t="s">
        <v>2617</v>
      </c>
      <c r="AF2" s="2867" t="s">
        <v>1635</v>
      </c>
      <c r="AG2" s="2867" t="s">
        <v>1938</v>
      </c>
      <c r="AH2" s="2866" t="s">
        <v>2618</v>
      </c>
    </row>
    <row r="3" spans="1:34" s="2875" customFormat="1" ht="14.25">
      <c r="A3" s="2869" t="s">
        <v>2916</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Z29"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2985</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2917</v>
      </c>
      <c r="X5" s="2896">
        <f>ROUND(IF(项目基本情况!B6="出让",SUMPRODUCT(PRODUCT(1+N5:N$32)),SUMPRODUCT(PRODUCT(1+N5:N$31))),4)</f>
        <v>1.571</v>
      </c>
      <c r="Y5" s="2896">
        <f>ROUND(IF(项目基本情况!B6="出让",SUMPRODUCT(PRODUCT(1+O5:O$32)),SUMPRODUCT(PRODUCT(1+O5:O$31))),4)</f>
        <v>1.3420000000000001</v>
      </c>
      <c r="Z5" s="2896">
        <f t="shared" ref="Z5" si="11">Y5</f>
        <v>1.3420000000000001</v>
      </c>
      <c r="AA5" s="2896">
        <f>ROUND(IF(项目基本情况!B6="出让",SUMPRODUCT(PRODUCT(1+P5:P$32)),SUMPRODUCT(PRODUCT(1+P5:P$31))),4)</f>
        <v>1.6415999999999999</v>
      </c>
      <c r="AB5" s="2896">
        <f>ROUND(IF(项目基本情况!B6="出让",SUMPRODUCT(PRODUCT(1+Q5:Q$32)),SUMPRODUCT(PRODUCT(1+Q5:Q$31))),4)</f>
        <v>1.389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2984</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ROUND(IF(项目基本情况!B7="出让",SUMPRODUCT(PRODUCT(1+N6:N$32)),SUMPRODUCT(PRODUCT(1+N6:N$31))),4)</f>
        <v>1.571</v>
      </c>
      <c r="Y6" s="2886">
        <f>ROUND(IF(项目基本情况!B7="出让",SUMPRODUCT(PRODUCT(1+O6:O$32)),SUMPRODUCT(PRODUCT(1+O6:O$31))),4)</f>
        <v>1.3420000000000001</v>
      </c>
      <c r="Z6" s="2886">
        <f t="shared" ref="Z6" si="22">Y6</f>
        <v>1.3420000000000001</v>
      </c>
      <c r="AA6" s="2886">
        <f>ROUND(IF(项目基本情况!B7="出让",SUMPRODUCT(PRODUCT(1+P6:P$32)),SUMPRODUCT(PRODUCT(1+P6:P$31))),4)</f>
        <v>1.6415999999999999</v>
      </c>
      <c r="AB6" s="2886">
        <f>ROUND(IF(项目基本情况!B7="出让",SUMPRODUCT(PRODUCT(1+Q6:Q$32)),SUMPRODUCT(PRODUCT(1+Q6:Q$31))),4)</f>
        <v>1.389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2946</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ROUND(IF(项目基本情况!B8="出让",SUMPRODUCT(PRODUCT(1+N7:N$32)),SUMPRODUCT(PRODUCT(1+N7:N$31))),4)</f>
        <v>1.5652999999999999</v>
      </c>
      <c r="Y7" s="2886">
        <f>ROUND(IF(项目基本情况!B8="出让",SUMPRODUCT(PRODUCT(1+O7:O$32)),SUMPRODUCT(PRODUCT(1+O7:O$31))),4)</f>
        <v>1.3472</v>
      </c>
      <c r="Z7" s="2886">
        <f t="shared" ref="Z7" si="33">Y7</f>
        <v>1.3472</v>
      </c>
      <c r="AA7" s="2886">
        <f>ROUND(IF(项目基本情况!B8="出让",SUMPRODUCT(PRODUCT(1+P7:P$32)),SUMPRODUCT(PRODUCT(1+P7:P$31))),4)</f>
        <v>1.6335999999999999</v>
      </c>
      <c r="AB7" s="2886">
        <f>ROUND(IF(项目基本情况!B8="出让",SUMPRODUCT(PRODUCT(1+Q7:Q$32)),SUMPRODUCT(PRODUCT(1+Q7:Q$31))),4)</f>
        <v>1.3880999999999999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2944</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ROUND(IF(项目基本情况!B8="出让",SUMPRODUCT(PRODUCT(1+N8:N$32)),SUMPRODUCT(PRODUCT(1+N8:N$31))),4)</f>
        <v>1.5605</v>
      </c>
      <c r="Y8" s="2886">
        <f>ROUND(IF(项目基本情况!B8="出让",SUMPRODUCT(PRODUCT(1+O8:O$32)),SUMPRODUCT(PRODUCT(1+O8:O$31))),4)</f>
        <v>1.3577999999999999</v>
      </c>
      <c r="Z8" s="2886">
        <f t="shared" ref="Z8" si="44">Y8</f>
        <v>1.3577999999999999</v>
      </c>
      <c r="AA8" s="2886">
        <f>ROUND(IF(项目基本情况!B8="出让",SUMPRODUCT(PRODUCT(1+P8:P$32)),SUMPRODUCT(PRODUCT(1+P8:P$31))),4)</f>
        <v>1.6254999999999999</v>
      </c>
      <c r="AB8" s="2886">
        <f>ROUND(IF(项目基本情况!B8="出让",SUMPRODUCT(PRODUCT(1+Q8:Q$32)),SUMPRODUCT(PRODUCT(1+Q8:Q$31))),4)</f>
        <v>1.3815999999999999</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2941</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ROUND(IF(项目基本情况!B8="出让",SUMPRODUCT(PRODUCT(1+N9:N$32)),SUMPRODUCT(PRODUCT(1+N9:N$31))),4)</f>
        <v>1.5586</v>
      </c>
      <c r="Y9" s="2886">
        <f>ROUND(IF(项目基本情况!B8="出让",SUMPRODUCT(PRODUCT(1+O9:O$32)),SUMPRODUCT(PRODUCT(1+O9:O$31))),4)</f>
        <v>1.3633</v>
      </c>
      <c r="Z9" s="2886">
        <f t="shared" ref="Z9" si="55">Y9</f>
        <v>1.3633</v>
      </c>
      <c r="AA9" s="2886">
        <f>ROUND(IF(项目基本情况!B8="出让",SUMPRODUCT(PRODUCT(1+P9:P$32)),SUMPRODUCT(PRODUCT(1+P9:P$31))),4)</f>
        <v>1.6221000000000001</v>
      </c>
      <c r="AB9" s="2886">
        <f>ROUND(IF(项目基本情况!B8="出让",SUMPRODUCT(PRODUCT(1+Q9:Q$32)),SUMPRODUCT(PRODUCT(1+Q9:Q$31))),4)</f>
        <v>1.3777999999999999</v>
      </c>
      <c r="AC9" s="2886"/>
      <c r="AD9" s="2887">
        <f>ROUND(AVERAGE(I9:I$32)/100,4)</f>
        <v>0.02</v>
      </c>
      <c r="AE9" s="2887">
        <f>ROUND(AVERAGE(J9:J$32)/100,4)</f>
        <v>1.4E-2</v>
      </c>
      <c r="AF9" s="2887">
        <f t="shared" ref="AF9" si="56">AE9</f>
        <v>1.4E-2</v>
      </c>
      <c r="AG9" s="2887">
        <f>ROUND(AVERAGE(K9:K$32)/100,4)</f>
        <v>2.1899999999999999E-2</v>
      </c>
      <c r="AH9" s="2887">
        <f>ROUND(AVERAGE(L9:L$32)/100,4)</f>
        <v>1.4E-2</v>
      </c>
    </row>
    <row r="10" spans="1:34" s="2905" customFormat="1" ht="13.5" thickBot="1">
      <c r="A10" s="2898" t="s">
        <v>2940</v>
      </c>
      <c r="B10" s="2899">
        <f t="shared" ref="B10" si="57">B11*(1+N10)</f>
        <v>477.19997390765138</v>
      </c>
      <c r="C10" s="2899">
        <f t="shared" ref="C10" si="58">C11*(1+O10)</f>
        <v>351.84874729536665</v>
      </c>
      <c r="D10" s="2899">
        <f t="shared" ref="D10" si="59">C10</f>
        <v>351.84874729536665</v>
      </c>
      <c r="E10" s="2899">
        <f t="shared" ref="E10" si="60">E11*(1+P10)</f>
        <v>682.29768951465201</v>
      </c>
      <c r="F10" s="2899">
        <f t="shared" ref="F10" si="61">F11*(1+Q10)</f>
        <v>315.26985675409043</v>
      </c>
      <c r="G10" s="2882">
        <v>2019</v>
      </c>
      <c r="H10" s="2900">
        <v>3</v>
      </c>
      <c r="I10" s="2900">
        <v>0.61</v>
      </c>
      <c r="J10" s="2900">
        <v>0.67</v>
      </c>
      <c r="K10" s="2900">
        <v>0.6</v>
      </c>
      <c r="L10" s="2906">
        <v>1.03</v>
      </c>
      <c r="M10" s="2886"/>
      <c r="N10" s="2901">
        <f t="shared" ref="N10" si="62">I10/100</f>
        <v>6.0999999999999995E-3</v>
      </c>
      <c r="O10" s="2887">
        <f t="shared" ref="O10" si="63">J10/100</f>
        <v>6.7000000000000002E-3</v>
      </c>
      <c r="P10" s="2887">
        <f t="shared" ref="P10" si="64">K10/100</f>
        <v>6.0000000000000001E-3</v>
      </c>
      <c r="Q10" s="2887">
        <f t="shared" ref="Q10" si="65">L10/100</f>
        <v>1.03E-2</v>
      </c>
      <c r="R10" s="2902"/>
      <c r="S10" s="2903"/>
      <c r="T10" s="2904"/>
      <c r="U10" s="2904"/>
      <c r="V10" s="2904"/>
      <c r="W10" s="2886"/>
      <c r="X10" s="2886">
        <f>ROUND(IF(项目基本情况!B8="出让",SUMPRODUCT(PRODUCT(1+N10:N$32)),SUMPRODUCT(PRODUCT(1+N10:N$31))),4)</f>
        <v>1.5516000000000001</v>
      </c>
      <c r="Y10" s="2886">
        <f>ROUND(IF(项目基本情况!B8="出让",SUMPRODUCT(PRODUCT(1+O10:O$32)),SUMPRODUCT(PRODUCT(1+O10:O$31))),4)</f>
        <v>1.3649</v>
      </c>
      <c r="Z10" s="2886">
        <f t="shared" ref="Z10" si="66">Y10</f>
        <v>1.3649</v>
      </c>
      <c r="AA10" s="2886">
        <f>ROUND(IF(项目基本情况!B8="出让",SUMPRODUCT(PRODUCT(1+P10:P$32)),SUMPRODUCT(PRODUCT(1+P10:P$31))),4)</f>
        <v>1.6133999999999999</v>
      </c>
      <c r="AB10" s="2886">
        <f>ROUND(IF(项目基本情况!B8="出让",SUMPRODUCT(PRODUCT(1+Q10:Q$32)),SUMPRODUCT(PRODUCT(1+Q10:Q$31))),4)</f>
        <v>1.3713</v>
      </c>
      <c r="AC10" s="2886"/>
      <c r="AD10" s="2887">
        <f>ROUND(AVERAGE(I10:I$32)/100,4)</f>
        <v>2.07E-2</v>
      </c>
      <c r="AE10" s="2887">
        <f>ROUND(AVERAGE(J10:J$32)/100,4)</f>
        <v>1.47E-2</v>
      </c>
      <c r="AF10" s="2887">
        <f t="shared" ref="AF10" si="67">AE10</f>
        <v>1.47E-2</v>
      </c>
      <c r="AG10" s="2887">
        <f>ROUND(AVERAGE(K10:K$32)/100,4)</f>
        <v>2.2599999999999999E-2</v>
      </c>
      <c r="AH10" s="2887">
        <f>ROUND(AVERAGE(L10:L$32)/100,4)</f>
        <v>1.44E-2</v>
      </c>
    </row>
    <row r="11" spans="1:34" s="2905" customFormat="1">
      <c r="A11" s="2898" t="s">
        <v>2937</v>
      </c>
      <c r="B11" s="2899">
        <f t="shared" ref="B11:B16" si="68">B12*(1+N11)</f>
        <v>474.30670301923408</v>
      </c>
      <c r="C11" s="2899">
        <f t="shared" ref="C11" si="69">C12*(1+O11)</f>
        <v>349.50705005996491</v>
      </c>
      <c r="D11" s="2899">
        <f t="shared" ref="D11" si="70">C11</f>
        <v>349.50705005996491</v>
      </c>
      <c r="E11" s="2899">
        <f t="shared" ref="E11" si="71">E12*(1+P11)</f>
        <v>678.22831959706957</v>
      </c>
      <c r="F11" s="2899">
        <f t="shared" ref="F11" si="72">F12*(1+Q11)</f>
        <v>312.0556832169558</v>
      </c>
      <c r="G11" s="2882">
        <v>2019</v>
      </c>
      <c r="H11" s="2907">
        <v>2</v>
      </c>
      <c r="I11" s="2907">
        <v>1.53</v>
      </c>
      <c r="J11" s="2907">
        <v>1.01</v>
      </c>
      <c r="K11" s="2907">
        <v>1.62</v>
      </c>
      <c r="L11" s="2908">
        <v>1.25</v>
      </c>
      <c r="M11" s="2886"/>
      <c r="N11" s="2901">
        <f t="shared" ref="N11" si="73">I11/100</f>
        <v>1.5300000000000001E-2</v>
      </c>
      <c r="O11" s="2887">
        <f t="shared" ref="O11" si="74">J11/100</f>
        <v>1.01E-2</v>
      </c>
      <c r="P11" s="2887">
        <f t="shared" ref="P11" si="75">K11/100</f>
        <v>1.6200000000000003E-2</v>
      </c>
      <c r="Q11" s="2887">
        <f t="shared" ref="Q11" si="76">L11/100</f>
        <v>1.2500000000000001E-2</v>
      </c>
      <c r="R11" s="2902"/>
      <c r="S11" s="2903"/>
      <c r="T11" s="2904"/>
      <c r="U11" s="2904"/>
      <c r="V11" s="2904"/>
      <c r="W11" s="2886"/>
      <c r="X11" s="2886">
        <f>ROUND(IF(项目基本情况!B8="出让",SUMPRODUCT(PRODUCT(1+N11:N$32)),SUMPRODUCT(PRODUCT(1+N11:N$31))),4)</f>
        <v>1.5422</v>
      </c>
      <c r="Y11" s="2886">
        <f>ROUND(IF(项目基本情况!B8="出让",SUMPRODUCT(PRODUCT(1+O11:O$32)),SUMPRODUCT(PRODUCT(1+O11:O$31))),4)</f>
        <v>1.3557999999999999</v>
      </c>
      <c r="Z11" s="2886">
        <f t="shared" ref="Z11" si="77">Y11</f>
        <v>1.3557999999999999</v>
      </c>
      <c r="AA11" s="2886">
        <f>ROUND(IF(项目基本情况!B8="出让",SUMPRODUCT(PRODUCT(1+P11:P$32)),SUMPRODUCT(PRODUCT(1+P11:P$31))),4)</f>
        <v>1.6036999999999999</v>
      </c>
      <c r="AB11" s="2886">
        <f>ROUND(IF(项目基本情况!B8="出让",SUMPRODUCT(PRODUCT(1+Q11:Q$32)),SUMPRODUCT(PRODUCT(1+Q11:Q$31))),4)</f>
        <v>1.3573</v>
      </c>
      <c r="AC11" s="2886"/>
      <c r="AD11" s="2887">
        <f>ROUND(AVERAGE(I11:I$32)/100,4)</f>
        <v>2.1299999999999999E-2</v>
      </c>
      <c r="AE11" s="2887">
        <f>ROUND(AVERAGE(J11:J$32)/100,4)</f>
        <v>1.4999999999999999E-2</v>
      </c>
      <c r="AF11" s="2887">
        <f t="shared" ref="AF11" si="78">AE11</f>
        <v>1.4999999999999999E-2</v>
      </c>
      <c r="AG11" s="2887">
        <f>ROUND(AVERAGE(K11:K$32)/100,4)</f>
        <v>2.3300000000000001E-2</v>
      </c>
      <c r="AH11" s="2887">
        <f>ROUND(AVERAGE(L11:L$32)/100,4)</f>
        <v>1.46E-2</v>
      </c>
    </row>
    <row r="12" spans="1:34" s="2905" customFormat="1" ht="13.5" thickBot="1">
      <c r="A12" s="2898" t="s">
        <v>2936</v>
      </c>
      <c r="B12" s="2899">
        <f t="shared" si="68"/>
        <v>467.15916775261894</v>
      </c>
      <c r="C12" s="2899">
        <f t="shared" ref="C12" si="79">C13*(1+O12)</f>
        <v>346.01232557169084</v>
      </c>
      <c r="D12" s="2899">
        <f t="shared" ref="D12" si="80">C12</f>
        <v>346.01232557169084</v>
      </c>
      <c r="E12" s="2899">
        <f t="shared" ref="E12" si="81">E13*(1+P12)</f>
        <v>667.41617752122568</v>
      </c>
      <c r="F12" s="2899">
        <f t="shared" ref="F12" si="82">F13*(1+Q12)</f>
        <v>308.20314391798104</v>
      </c>
      <c r="G12" s="2882">
        <v>2019</v>
      </c>
      <c r="H12" s="2900">
        <v>1</v>
      </c>
      <c r="I12" s="2900">
        <v>0.6</v>
      </c>
      <c r="J12" s="2900">
        <v>0.37</v>
      </c>
      <c r="K12" s="2900">
        <v>0.63</v>
      </c>
      <c r="L12" s="2906">
        <v>1.1299999999999999</v>
      </c>
      <c r="M12" s="2886"/>
      <c r="N12" s="2901">
        <f t="shared" ref="N12" si="83">I12/100</f>
        <v>6.0000000000000001E-3</v>
      </c>
      <c r="O12" s="2887">
        <f t="shared" ref="O12" si="84">J12/100</f>
        <v>3.7000000000000002E-3</v>
      </c>
      <c r="P12" s="2887">
        <f t="shared" ref="P12" si="85">K12/100</f>
        <v>6.3E-3</v>
      </c>
      <c r="Q12" s="2887">
        <f t="shared" ref="Q12" si="86">L12/100</f>
        <v>1.1299999999999999E-2</v>
      </c>
      <c r="R12" s="2902"/>
      <c r="S12" s="2903">
        <f>B12/B13-1</f>
        <v>6.0000000000000053E-3</v>
      </c>
      <c r="T12" s="2904">
        <f>C12/C13-1</f>
        <v>3.7000000000000366E-3</v>
      </c>
      <c r="U12" s="2904">
        <f>E12/E13-1</f>
        <v>6.2999999999999723E-3</v>
      </c>
      <c r="V12" s="2904">
        <f>F12/F13-1</f>
        <v>1.1300000000000088E-2</v>
      </c>
      <c r="W12" s="2886"/>
      <c r="X12" s="2886">
        <f>ROUND(IF(项目基本情况!B8="出让",SUMPRODUCT(PRODUCT(1+N12:N$32)),SUMPRODUCT(PRODUCT(1+N12:N$31))),4)</f>
        <v>1.5189999999999999</v>
      </c>
      <c r="Y12" s="2886">
        <f>ROUND(IF(项目基本情况!B8="出让",SUMPRODUCT(PRODUCT(1+O12:O$32)),SUMPRODUCT(PRODUCT(1+O12:O$31))),4)</f>
        <v>1.3423</v>
      </c>
      <c r="Z12" s="2886">
        <f t="shared" ref="Z12" si="87">Y12</f>
        <v>1.3423</v>
      </c>
      <c r="AA12" s="2886">
        <f>ROUND(IF(项目基本情况!B8="出让",SUMPRODUCT(PRODUCT(1+P12:P$32)),SUMPRODUCT(PRODUCT(1+P12:P$31))),4)</f>
        <v>1.5782</v>
      </c>
      <c r="AB12" s="2886">
        <f>ROUND(IF(项目基本情况!B8="出让",SUMPRODUCT(PRODUCT(1+Q12:Q$32)),SUMPRODUCT(PRODUCT(1+Q12:Q$31))),4)</f>
        <v>1.3405</v>
      </c>
      <c r="AC12" s="2886"/>
      <c r="AD12" s="2887">
        <f>ROUND(AVERAGE(I12:I$32)/100,4)</f>
        <v>2.1600000000000001E-2</v>
      </c>
      <c r="AE12" s="2887">
        <f>ROUND(AVERAGE(J12:J$32)/100,4)</f>
        <v>1.5299999999999999E-2</v>
      </c>
      <c r="AF12" s="2887">
        <f t="shared" ref="AF12" si="88">AE12</f>
        <v>1.5299999999999999E-2</v>
      </c>
      <c r="AG12" s="2887">
        <f>ROUND(AVERAGE(K12:K$32)/100,4)</f>
        <v>2.3699999999999999E-2</v>
      </c>
      <c r="AH12" s="2887">
        <f>ROUND(AVERAGE(L12:L$32)/100,4)</f>
        <v>1.47E-2</v>
      </c>
    </row>
    <row r="13" spans="1:34" s="2905" customFormat="1">
      <c r="A13" s="2898" t="s">
        <v>2933</v>
      </c>
      <c r="B13" s="2909">
        <f t="shared" si="68"/>
        <v>464.37293017158942</v>
      </c>
      <c r="C13" s="2909">
        <f t="shared" ref="C13" si="89">C14*(1+O13)</f>
        <v>344.73679941385956</v>
      </c>
      <c r="D13" s="2909">
        <f t="shared" ref="D13" si="90">C13</f>
        <v>344.73679941385956</v>
      </c>
      <c r="E13" s="2909">
        <f t="shared" ref="E13" si="91">E14*(1+P13)</f>
        <v>663.2377795103107</v>
      </c>
      <c r="F13" s="2910">
        <f t="shared" ref="F13" si="92">F14*(1+Q13)</f>
        <v>304.75936311478398</v>
      </c>
      <c r="G13" s="3585">
        <v>2018</v>
      </c>
      <c r="H13" s="2907">
        <v>4</v>
      </c>
      <c r="I13" s="2907">
        <v>0.96</v>
      </c>
      <c r="J13" s="2907">
        <v>1.03</v>
      </c>
      <c r="K13" s="2907">
        <v>0.92</v>
      </c>
      <c r="L13" s="2908">
        <v>1.29</v>
      </c>
      <c r="M13" s="2886"/>
      <c r="N13" s="2901">
        <f t="shared" ref="N13" si="93">I13/100</f>
        <v>9.5999999999999992E-3</v>
      </c>
      <c r="O13" s="2887">
        <f t="shared" ref="O13" si="94">J13/100</f>
        <v>1.03E-2</v>
      </c>
      <c r="P13" s="2887">
        <f t="shared" ref="P13" si="95">K13/100</f>
        <v>9.1999999999999998E-3</v>
      </c>
      <c r="Q13" s="2887">
        <f t="shared" ref="Q13" si="96">L13/100</f>
        <v>1.29E-2</v>
      </c>
      <c r="R13" s="2902"/>
      <c r="S13" s="2911"/>
      <c r="T13" s="2912"/>
      <c r="U13" s="2912"/>
      <c r="V13" s="2912"/>
      <c r="W13" s="2886"/>
      <c r="X13" s="2886">
        <f>ROUND(SUMPRODUCT(PRODUCT(1+N13:N$31)),4)</f>
        <v>1.5099</v>
      </c>
      <c r="Y13" s="2886">
        <f>ROUND(SUMPRODUCT(PRODUCT(1+O13:O$31)),4)</f>
        <v>1.3372999999999999</v>
      </c>
      <c r="Z13" s="2886">
        <f t="shared" ref="Z13" si="97">Y13</f>
        <v>1.3372999999999999</v>
      </c>
      <c r="AA13" s="2886">
        <f>ROUND(SUMPRODUCT(PRODUCT(1+P13:P$31)),4)</f>
        <v>1.5683</v>
      </c>
      <c r="AB13" s="2886">
        <f>ROUND(SUMPRODUCT(PRODUCT(1+Q13:Q$31)),4)</f>
        <v>1.3255999999999999</v>
      </c>
      <c r="AC13" s="2886"/>
      <c r="AD13" s="2887">
        <f>ROUND(AVERAGE(I13:I$32)/100,4)</f>
        <v>2.24E-2</v>
      </c>
      <c r="AE13" s="2887">
        <f>ROUND(AVERAGE(J13:J$32)/100,4)</f>
        <v>1.5800000000000002E-2</v>
      </c>
      <c r="AF13" s="2887">
        <f t="shared" ref="AF13" si="98">AE13</f>
        <v>1.5800000000000002E-2</v>
      </c>
      <c r="AG13" s="2887">
        <f>ROUND(AVERAGE(K13:K$32)/100,4)</f>
        <v>2.4500000000000001E-2</v>
      </c>
      <c r="AH13" s="2887">
        <f>ROUND(AVERAGE(L13:L$32)/100,4)</f>
        <v>1.49E-2</v>
      </c>
    </row>
    <row r="14" spans="1:34" s="2905" customFormat="1" ht="14.45" customHeight="1">
      <c r="A14" s="2898" t="s">
        <v>2926</v>
      </c>
      <c r="B14" s="2899">
        <f t="shared" si="68"/>
        <v>459.95733971036987</v>
      </c>
      <c r="C14" s="2899">
        <f t="shared" ref="C14" si="99">C15*(1+O14)</f>
        <v>341.22221064422405</v>
      </c>
      <c r="D14" s="2899">
        <f t="shared" ref="D14" si="100">C14</f>
        <v>341.22221064422405</v>
      </c>
      <c r="E14" s="2899">
        <f t="shared" ref="E14" si="101">E15*(1+P14)</f>
        <v>657.19161663724799</v>
      </c>
      <c r="F14" s="2899">
        <f t="shared" ref="F14" si="102">F15*(1+Q14)</f>
        <v>300.87803644464805</v>
      </c>
      <c r="G14" s="3585"/>
      <c r="H14" s="2900">
        <v>3</v>
      </c>
      <c r="I14" s="2900">
        <v>1.51</v>
      </c>
      <c r="J14" s="2900">
        <v>1.41</v>
      </c>
      <c r="K14" s="2900">
        <v>1.52</v>
      </c>
      <c r="L14" s="2906">
        <v>1.74</v>
      </c>
      <c r="M14" s="2886"/>
      <c r="N14" s="2901">
        <f t="shared" ref="N14" si="103">I14/100</f>
        <v>1.5100000000000001E-2</v>
      </c>
      <c r="O14" s="2887">
        <f t="shared" ref="O14" si="104">J14/100</f>
        <v>1.41E-2</v>
      </c>
      <c r="P14" s="2887">
        <f t="shared" ref="P14" si="105">K14/100</f>
        <v>1.52E-2</v>
      </c>
      <c r="Q14" s="2887">
        <f t="shared" ref="Q14" si="106">L14/100</f>
        <v>1.7399999999999999E-2</v>
      </c>
      <c r="R14" s="2902"/>
      <c r="S14" s="2901"/>
      <c r="T14" s="2887"/>
      <c r="U14" s="2887"/>
      <c r="V14" s="2887"/>
      <c r="W14" s="2886"/>
      <c r="X14" s="2886">
        <f>ROUND(SUMPRODUCT(PRODUCT(1+N14:N$31)),4)</f>
        <v>1.4956</v>
      </c>
      <c r="Y14" s="2886">
        <f>ROUND(SUMPRODUCT(PRODUCT(1+O14:O$31)),4)</f>
        <v>1.3237000000000001</v>
      </c>
      <c r="Z14" s="2886">
        <f t="shared" ref="Z14" si="107">Y14</f>
        <v>1.3237000000000001</v>
      </c>
      <c r="AA14" s="2886">
        <f>ROUND(SUMPRODUCT(PRODUCT(1+P14:P$31)),4)</f>
        <v>1.554</v>
      </c>
      <c r="AB14" s="2886">
        <f>ROUND(SUMPRODUCT(PRODUCT(1+Q14:Q$31)),4)</f>
        <v>1.3087</v>
      </c>
      <c r="AC14" s="2886"/>
      <c r="AD14" s="2887">
        <f>ROUND(AVERAGE(I14:I$32)/100,4)</f>
        <v>2.3099999999999999E-2</v>
      </c>
      <c r="AE14" s="2887">
        <f>ROUND(AVERAGE(J14:J$32)/100,4)</f>
        <v>1.61E-2</v>
      </c>
      <c r="AF14" s="2887">
        <f t="shared" ref="AF14" si="108">AE14</f>
        <v>1.61E-2</v>
      </c>
      <c r="AG14" s="2887">
        <f>ROUND(AVERAGE(K14:K$32)/100,4)</f>
        <v>2.53E-2</v>
      </c>
      <c r="AH14" s="2887">
        <f>ROUND(AVERAGE(L14:L$32)/100,4)</f>
        <v>1.4999999999999999E-2</v>
      </c>
    </row>
    <row r="15" spans="1:34" s="2905" customFormat="1" ht="14.45" customHeight="1">
      <c r="A15" s="2898" t="s">
        <v>2927</v>
      </c>
      <c r="B15" s="2899">
        <f t="shared" si="68"/>
        <v>453.11529869999993</v>
      </c>
      <c r="C15" s="2899">
        <f t="shared" ref="C15" si="109">C16*(1+O15)</f>
        <v>336.47787264000004</v>
      </c>
      <c r="D15" s="2899">
        <f t="shared" ref="D15" si="110">C15</f>
        <v>336.47787264000004</v>
      </c>
      <c r="E15" s="2899">
        <f t="shared" ref="E15" si="111">E16*(1+P15)</f>
        <v>647.35186823999993</v>
      </c>
      <c r="F15" s="2899">
        <f t="shared" ref="F15" si="112">F16*(1+Q15)</f>
        <v>295.73229452000004</v>
      </c>
      <c r="G15" s="3585"/>
      <c r="H15" s="2913">
        <v>2</v>
      </c>
      <c r="I15" s="2913">
        <v>1.49</v>
      </c>
      <c r="J15" s="2913">
        <v>0.96</v>
      </c>
      <c r="K15" s="2913">
        <v>1.58</v>
      </c>
      <c r="L15" s="2914">
        <v>2.44</v>
      </c>
      <c r="M15" s="2886"/>
      <c r="N15" s="2901">
        <f t="shared" ref="N15" si="113">I15/100</f>
        <v>1.49E-2</v>
      </c>
      <c r="O15" s="2887">
        <f t="shared" ref="O15" si="114">J15/100</f>
        <v>9.5999999999999992E-3</v>
      </c>
      <c r="P15" s="2887">
        <f t="shared" ref="P15" si="115">K15/100</f>
        <v>1.5800000000000002E-2</v>
      </c>
      <c r="Q15" s="2887">
        <f t="shared" ref="Q15" si="116">L15/100</f>
        <v>2.4399999999999998E-2</v>
      </c>
      <c r="R15" s="2902"/>
      <c r="S15" s="2901"/>
      <c r="T15" s="2887"/>
      <c r="U15" s="2887"/>
      <c r="V15" s="2887"/>
      <c r="W15" s="2886"/>
      <c r="X15" s="2886">
        <f>ROUND(SUMPRODUCT(PRODUCT(1+N15:N$31)),4)</f>
        <v>1.4733000000000001</v>
      </c>
      <c r="Y15" s="2886">
        <f>ROUND(SUMPRODUCT(PRODUCT(1+O15:O$31)),4)</f>
        <v>1.3052999999999999</v>
      </c>
      <c r="Z15" s="2886">
        <f t="shared" ref="Z15" si="117">Y15</f>
        <v>1.3052999999999999</v>
      </c>
      <c r="AA15" s="2886">
        <f>ROUND(SUMPRODUCT(PRODUCT(1+P15:P$31)),4)</f>
        <v>1.5306999999999999</v>
      </c>
      <c r="AB15" s="2886">
        <f>ROUND(SUMPRODUCT(PRODUCT(1+Q15:Q$31)),4)</f>
        <v>1.2863</v>
      </c>
      <c r="AC15" s="2886"/>
      <c r="AD15" s="2887">
        <f>ROUND(AVERAGE(I15:I$32)/100,4)</f>
        <v>2.35E-2</v>
      </c>
      <c r="AE15" s="2887">
        <f>ROUND(AVERAGE(J15:J$32)/100,4)</f>
        <v>1.6199999999999999E-2</v>
      </c>
      <c r="AF15" s="2887">
        <f t="shared" ref="AF15" si="118">AE15</f>
        <v>1.6199999999999999E-2</v>
      </c>
      <c r="AG15" s="2887">
        <f>ROUND(AVERAGE(K15:K$32)/100,4)</f>
        <v>2.5899999999999999E-2</v>
      </c>
      <c r="AH15" s="2887">
        <f>ROUND(AVERAGE(L15:L$32)/100,4)</f>
        <v>1.49E-2</v>
      </c>
    </row>
    <row r="16" spans="1:34" s="2905" customFormat="1" ht="15" customHeight="1" thickBot="1">
      <c r="A16" s="2898" t="s">
        <v>2923</v>
      </c>
      <c r="B16" s="2899">
        <f t="shared" si="68"/>
        <v>446.46299999999997</v>
      </c>
      <c r="C16" s="2899">
        <f t="shared" ref="C16" si="119">C17*(1+O16)</f>
        <v>333.27840000000003</v>
      </c>
      <c r="D16" s="2899">
        <f t="shared" ref="D16:D21" si="120">C16</f>
        <v>333.27840000000003</v>
      </c>
      <c r="E16" s="2899">
        <f t="shared" ref="E16" si="121">E17*(1+P16)</f>
        <v>637.28279999999995</v>
      </c>
      <c r="F16" s="2899">
        <f t="shared" ref="F16" si="122">F17*(1+Q16)</f>
        <v>288.68830000000003</v>
      </c>
      <c r="G16" s="3586"/>
      <c r="H16" s="2900">
        <v>1</v>
      </c>
      <c r="I16" s="2900">
        <v>1.7</v>
      </c>
      <c r="J16" s="2900">
        <v>1.92</v>
      </c>
      <c r="K16" s="2900">
        <v>1.64</v>
      </c>
      <c r="L16" s="2906">
        <v>2.0099999999999998</v>
      </c>
      <c r="M16" s="2886"/>
      <c r="N16" s="2901">
        <f t="shared" ref="N16:N21" si="123">I16/100</f>
        <v>1.7000000000000001E-2</v>
      </c>
      <c r="O16" s="2887">
        <f t="shared" ref="O16" si="124">J16/100</f>
        <v>1.9199999999999998E-2</v>
      </c>
      <c r="P16" s="2887">
        <f t="shared" ref="P16" si="125">K16/100</f>
        <v>1.6399999999999998E-2</v>
      </c>
      <c r="Q16" s="2887">
        <f t="shared" ref="Q16" si="126">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ROUND(SUMPRODUCT(PRODUCT(1+N16:N$31)),4)</f>
        <v>1.4517</v>
      </c>
      <c r="Y16" s="2886">
        <f>ROUND(SUMPRODUCT(PRODUCT(1+O16:O$31)),4)</f>
        <v>1.2928999999999999</v>
      </c>
      <c r="Z16" s="2886">
        <f t="shared" ref="Z16" si="127">Y16</f>
        <v>1.2928999999999999</v>
      </c>
      <c r="AA16" s="2886">
        <f>ROUND(SUMPRODUCT(PRODUCT(1+P16:P$31)),4)</f>
        <v>1.5068999999999999</v>
      </c>
      <c r="AB16" s="2886">
        <f>ROUND(SUMPRODUCT(PRODUCT(1+Q16:Q$31)),4)</f>
        <v>1.2557</v>
      </c>
      <c r="AC16" s="2886"/>
      <c r="AD16" s="2887">
        <f>ROUND(AVERAGE(I16:I$32)/100,4)</f>
        <v>2.4E-2</v>
      </c>
      <c r="AE16" s="2887">
        <f>ROUND(AVERAGE(J16:J$32)/100,4)</f>
        <v>1.66E-2</v>
      </c>
      <c r="AF16" s="2887">
        <f t="shared" ref="AF16" si="128">AE16</f>
        <v>1.66E-2</v>
      </c>
      <c r="AG16" s="2887">
        <f>ROUND(AVERAGE(K16:K$32)/100,4)</f>
        <v>2.6499999999999999E-2</v>
      </c>
      <c r="AH16" s="2887">
        <f>ROUND(AVERAGE(L16:L$32)/100,4)</f>
        <v>1.43E-2</v>
      </c>
    </row>
    <row r="17" spans="1:34">
      <c r="A17" s="2898" t="s">
        <v>2915</v>
      </c>
      <c r="B17" s="2915">
        <v>439</v>
      </c>
      <c r="C17" s="2915">
        <v>327</v>
      </c>
      <c r="D17" s="2915">
        <f t="shared" si="120"/>
        <v>327</v>
      </c>
      <c r="E17" s="2915">
        <v>627</v>
      </c>
      <c r="F17" s="2916">
        <v>283</v>
      </c>
      <c r="G17" s="3584">
        <v>2017</v>
      </c>
      <c r="H17" s="2907">
        <v>4</v>
      </c>
      <c r="I17" s="2907">
        <v>1.71</v>
      </c>
      <c r="J17" s="2907">
        <v>1.78</v>
      </c>
      <c r="K17" s="2907">
        <v>1.71</v>
      </c>
      <c r="L17" s="2908">
        <v>1.43</v>
      </c>
      <c r="N17" s="2917">
        <f t="shared" si="123"/>
        <v>1.7100000000000001E-2</v>
      </c>
      <c r="O17" s="2918">
        <f t="shared" ref="O17" si="129">J17/100</f>
        <v>1.78E-2</v>
      </c>
      <c r="P17" s="2918">
        <f t="shared" ref="P17" si="130">K17/100</f>
        <v>1.7100000000000001E-2</v>
      </c>
      <c r="Q17" s="2918">
        <f t="shared" ref="Q17" si="131">L17/100</f>
        <v>1.43E-2</v>
      </c>
      <c r="R17" s="2902"/>
      <c r="S17" s="2911"/>
      <c r="T17" s="2912"/>
      <c r="U17" s="2912"/>
      <c r="V17" s="2912"/>
      <c r="X17" s="2886">
        <f>ROUND(SUMPRODUCT(PRODUCT(1+N17:N$31)),4)</f>
        <v>1.4274</v>
      </c>
      <c r="Y17" s="2886">
        <f>ROUND(SUMPRODUCT(PRODUCT(1+O17:O$31)),4)</f>
        <v>1.2685</v>
      </c>
      <c r="Z17" s="2886">
        <f t="shared" si="0"/>
        <v>1.2685</v>
      </c>
      <c r="AA17" s="2886">
        <f>ROUND(SUMPRODUCT(PRODUCT(1+P17:P$31)),4)</f>
        <v>1.4825999999999999</v>
      </c>
      <c r="AB17" s="2886">
        <f>ROUND(SUMPRODUCT(PRODUCT(1+Q17:Q$31)),4)</f>
        <v>1.2309000000000001</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2918</v>
      </c>
      <c r="B18" s="2899">
        <f t="shared" ref="B18:C20" si="132">B19*(1+N18)</f>
        <v>431.80730811680002</v>
      </c>
      <c r="C18" s="2899">
        <f t="shared" si="132"/>
        <v>320.57880516480003</v>
      </c>
      <c r="D18" s="2899">
        <f t="shared" si="120"/>
        <v>320.57880516480003</v>
      </c>
      <c r="E18" s="2899">
        <f t="shared" ref="E18:F20" si="133">E19*(1+P18)</f>
        <v>615.96110553196797</v>
      </c>
      <c r="F18" s="2899">
        <f t="shared" si="133"/>
        <v>279.46777300108801</v>
      </c>
      <c r="G18" s="3585"/>
      <c r="H18" s="2900">
        <v>3</v>
      </c>
      <c r="I18" s="2900">
        <v>2.98</v>
      </c>
      <c r="J18" s="2900">
        <v>2.11</v>
      </c>
      <c r="K18" s="2900">
        <v>3.24</v>
      </c>
      <c r="L18" s="2906">
        <v>1.72</v>
      </c>
      <c r="M18" s="2886"/>
      <c r="N18" s="2901">
        <f t="shared" si="123"/>
        <v>2.98E-2</v>
      </c>
      <c r="O18" s="2919">
        <f t="shared" ref="O18:O19" si="134">J18/100</f>
        <v>2.1099999999999997E-2</v>
      </c>
      <c r="P18" s="2919">
        <f t="shared" ref="P18:P19" si="135">K18/100</f>
        <v>3.2400000000000005E-2</v>
      </c>
      <c r="Q18" s="2919">
        <f t="shared" ref="Q18:Q19" si="136">L18/100</f>
        <v>1.72E-2</v>
      </c>
      <c r="R18" s="2902"/>
      <c r="S18" s="2901"/>
      <c r="T18" s="2887"/>
      <c r="U18" s="2887"/>
      <c r="V18" s="2887"/>
      <c r="W18" s="2886"/>
      <c r="X18" s="2886">
        <f>ROUND(SUMPRODUCT(PRODUCT(1+N18:N$31)),4)</f>
        <v>1.4034</v>
      </c>
      <c r="Y18" s="2886">
        <f>ROUND(SUMPRODUCT(PRODUCT(1+O18:O$31)),4)</f>
        <v>1.2463</v>
      </c>
      <c r="Z18" s="2886">
        <f t="shared" si="0"/>
        <v>1.2463</v>
      </c>
      <c r="AA18" s="2886">
        <f>ROUND(SUMPRODUCT(PRODUCT(1+P18:P$31)),4)</f>
        <v>1.4577</v>
      </c>
      <c r="AB18" s="2886">
        <f>ROUND(SUMPRODUCT(PRODUCT(1+Q18:Q$31)),4)</f>
        <v>1.2136</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2557</v>
      </c>
      <c r="B19" s="2899">
        <f t="shared" si="132"/>
        <v>419.31181600000002</v>
      </c>
      <c r="C19" s="2899">
        <f t="shared" si="132"/>
        <v>313.95436800000004</v>
      </c>
      <c r="D19" s="2899">
        <f t="shared" si="120"/>
        <v>313.95436800000004</v>
      </c>
      <c r="E19" s="2899">
        <f t="shared" si="133"/>
        <v>596.63028431999999</v>
      </c>
      <c r="F19" s="2899">
        <f t="shared" si="133"/>
        <v>274.74220703999998</v>
      </c>
      <c r="G19" s="3585"/>
      <c r="H19" s="2913">
        <v>2</v>
      </c>
      <c r="I19" s="2913">
        <v>3.4</v>
      </c>
      <c r="J19" s="2913">
        <v>2</v>
      </c>
      <c r="K19" s="2913">
        <v>3.82</v>
      </c>
      <c r="L19" s="2914">
        <v>1.68</v>
      </c>
      <c r="N19" s="2901">
        <f t="shared" si="123"/>
        <v>3.4000000000000002E-2</v>
      </c>
      <c r="O19" s="2919">
        <f t="shared" si="134"/>
        <v>0.02</v>
      </c>
      <c r="P19" s="2919">
        <f t="shared" si="135"/>
        <v>3.8199999999999998E-2</v>
      </c>
      <c r="Q19" s="2919">
        <f t="shared" si="136"/>
        <v>1.6799999999999999E-2</v>
      </c>
      <c r="S19" s="2901"/>
      <c r="T19" s="2887"/>
      <c r="U19" s="2887"/>
      <c r="V19" s="2887"/>
      <c r="X19" s="2886">
        <f>ROUND(SUMPRODUCT(PRODUCT(1+N19:N$31)),4)</f>
        <v>1.3628</v>
      </c>
      <c r="Y19" s="2886">
        <f>ROUND(SUMPRODUCT(PRODUCT(1+O19:O$31)),4)</f>
        <v>1.2205999999999999</v>
      </c>
      <c r="Z19" s="2886">
        <f t="shared" si="0"/>
        <v>1.2205999999999999</v>
      </c>
      <c r="AA19" s="2886">
        <f>ROUND(SUMPRODUCT(PRODUCT(1+P19:P$31)),4)</f>
        <v>1.4118999999999999</v>
      </c>
      <c r="AB19" s="2886">
        <f>ROUND(SUMPRODUCT(PRODUCT(1+Q19:Q$31)),4)</f>
        <v>1.1930000000000001</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2558</v>
      </c>
      <c r="B20" s="2899">
        <f t="shared" si="132"/>
        <v>405.524</v>
      </c>
      <c r="C20" s="2899">
        <f t="shared" si="132"/>
        <v>307.79840000000002</v>
      </c>
      <c r="D20" s="2899">
        <f t="shared" si="120"/>
        <v>307.79840000000002</v>
      </c>
      <c r="E20" s="2899">
        <f t="shared" si="133"/>
        <v>574.67759999999998</v>
      </c>
      <c r="F20" s="2899">
        <f t="shared" si="133"/>
        <v>270.20280000000002</v>
      </c>
      <c r="G20" s="3586"/>
      <c r="H20" s="2900">
        <v>1</v>
      </c>
      <c r="I20" s="2900">
        <v>3.45</v>
      </c>
      <c r="J20" s="2900">
        <v>1.92</v>
      </c>
      <c r="K20" s="2900">
        <v>3.92</v>
      </c>
      <c r="L20" s="2906">
        <v>1.58</v>
      </c>
      <c r="M20" s="2886"/>
      <c r="N20" s="2903">
        <f t="shared" si="123"/>
        <v>3.4500000000000003E-2</v>
      </c>
      <c r="O20" s="2904">
        <f t="shared" ref="O20" si="137">J20/100</f>
        <v>1.9199999999999998E-2</v>
      </c>
      <c r="P20" s="2904">
        <f t="shared" ref="P20" si="138">K20/100</f>
        <v>3.9199999999999999E-2</v>
      </c>
      <c r="Q20" s="2904">
        <f t="shared" ref="Q20" si="139">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ROUND(SUMPRODUCT(PRODUCT(1+N20:N$31)),4)</f>
        <v>1.3180000000000001</v>
      </c>
      <c r="Y20" s="2886">
        <f>ROUND(SUMPRODUCT(PRODUCT(1+O20:O$31)),4)</f>
        <v>1.1966000000000001</v>
      </c>
      <c r="Z20" s="2886">
        <f t="shared" si="0"/>
        <v>1.1966000000000001</v>
      </c>
      <c r="AA20" s="2886">
        <f>ROUND(SUMPRODUCT(PRODUCT(1+P20:P$31)),4)</f>
        <v>1.36</v>
      </c>
      <c r="AB20" s="2886">
        <f>ROUND(SUMPRODUCT(PRODUCT(1+Q20:Q$31)),4)</f>
        <v>1.1733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20"/>
        <v>302</v>
      </c>
      <c r="E21" s="2920">
        <v>553</v>
      </c>
      <c r="F21" s="2921">
        <v>266</v>
      </c>
      <c r="G21" s="3584">
        <v>2016</v>
      </c>
      <c r="H21" s="2907">
        <v>4</v>
      </c>
      <c r="I21" s="2907">
        <v>4.5599999999999996</v>
      </c>
      <c r="J21" s="2907">
        <v>2.15</v>
      </c>
      <c r="K21" s="2907">
        <v>5.32</v>
      </c>
      <c r="L21" s="2908">
        <v>1.57</v>
      </c>
      <c r="N21" s="2901">
        <f t="shared" si="123"/>
        <v>4.5599999999999995E-2</v>
      </c>
      <c r="O21" s="2887">
        <f t="shared" ref="O21:Q36" si="140">J21/100</f>
        <v>2.1499999999999998E-2</v>
      </c>
      <c r="P21" s="2887">
        <f t="shared" si="140"/>
        <v>5.3200000000000004E-2</v>
      </c>
      <c r="Q21" s="2887">
        <f t="shared" si="140"/>
        <v>1.5700000000000002E-2</v>
      </c>
      <c r="R21" s="2902"/>
      <c r="S21" s="2911"/>
      <c r="T21" s="2912"/>
      <c r="U21" s="2912"/>
      <c r="V21" s="2912"/>
      <c r="X21" s="2886">
        <f>ROUND(SUMPRODUCT(PRODUCT(1+N21:N$31)),4)</f>
        <v>1.274</v>
      </c>
      <c r="Y21" s="2886">
        <f>ROUND(SUMPRODUCT(PRODUCT(1+O21:O$31)),4)</f>
        <v>1.1740999999999999</v>
      </c>
      <c r="Z21" s="2886">
        <f t="shared" si="0"/>
        <v>1.1740999999999999</v>
      </c>
      <c r="AA21" s="2886">
        <f>ROUND(SUMPRODUCT(PRODUCT(1+P21:P$31)),4)</f>
        <v>1.3087</v>
      </c>
      <c r="AB21" s="2886">
        <f>ROUND(SUMPRODUCT(PRODUCT(1+Q21:Q$31)),4)</f>
        <v>1.1551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41">B21/(1+N21)</f>
        <v>374.90436113236416</v>
      </c>
      <c r="C22" s="2899">
        <f t="shared" si="141"/>
        <v>295.64366128242779</v>
      </c>
      <c r="D22" s="2899">
        <f t="shared" ref="D22:D81" si="142">C22</f>
        <v>295.64366128242779</v>
      </c>
      <c r="E22" s="2899">
        <f t="shared" ref="E22:F24" si="143">E21/(1+P21)</f>
        <v>525.06646410938095</v>
      </c>
      <c r="F22" s="2899">
        <f t="shared" si="143"/>
        <v>261.88835286009646</v>
      </c>
      <c r="G22" s="3585"/>
      <c r="H22" s="2900">
        <v>3</v>
      </c>
      <c r="I22" s="2900">
        <v>4.12</v>
      </c>
      <c r="J22" s="2900">
        <v>2</v>
      </c>
      <c r="K22" s="2900">
        <v>4.79</v>
      </c>
      <c r="L22" s="2906">
        <v>1.97</v>
      </c>
      <c r="N22" s="2901">
        <f t="shared" ref="N22:Q56" si="144">I22/100</f>
        <v>4.1200000000000001E-2</v>
      </c>
      <c r="O22" s="2887">
        <f t="shared" si="140"/>
        <v>0.02</v>
      </c>
      <c r="P22" s="2887">
        <f t="shared" si="140"/>
        <v>4.7899999999999998E-2</v>
      </c>
      <c r="Q22" s="2887">
        <f t="shared" si="140"/>
        <v>1.9699999999999999E-2</v>
      </c>
      <c r="R22" s="2902"/>
      <c r="S22" s="2901"/>
      <c r="T22" s="2887"/>
      <c r="U22" s="2887"/>
      <c r="V22" s="2887"/>
      <c r="X22" s="2886">
        <f>ROUND(SUMPRODUCT(PRODUCT(1+N22:N$31)),4)</f>
        <v>1.2184999999999999</v>
      </c>
      <c r="Y22" s="2886">
        <f>ROUND(SUMPRODUCT(PRODUCT(1+O22:O$31)),4)</f>
        <v>1.1494</v>
      </c>
      <c r="Z22" s="2886">
        <f t="shared" si="0"/>
        <v>1.1494</v>
      </c>
      <c r="AA22" s="2886">
        <f>ROUND(SUMPRODUCT(PRODUCT(1+P22:P$31)),4)</f>
        <v>1.2425999999999999</v>
      </c>
      <c r="AB22" s="2886">
        <f>ROUND(SUMPRODUCT(PRODUCT(1+Q22:Q$31)),4)</f>
        <v>1.1372</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41"/>
        <v>360.06949782209392</v>
      </c>
      <c r="C23" s="2899">
        <f t="shared" si="141"/>
        <v>289.84672674747821</v>
      </c>
      <c r="D23" s="2899">
        <f t="shared" si="142"/>
        <v>289.84672674747821</v>
      </c>
      <c r="E23" s="2899">
        <f t="shared" si="143"/>
        <v>501.06543001181495</v>
      </c>
      <c r="F23" s="2899">
        <f t="shared" si="143"/>
        <v>256.82882500744967</v>
      </c>
      <c r="G23" s="3585"/>
      <c r="H23" s="2913">
        <v>2</v>
      </c>
      <c r="I23" s="2913">
        <v>3.85</v>
      </c>
      <c r="J23" s="2913">
        <v>1.95</v>
      </c>
      <c r="K23" s="2913">
        <v>4.4800000000000004</v>
      </c>
      <c r="L23" s="2914">
        <v>1.41</v>
      </c>
      <c r="N23" s="2901">
        <f t="shared" si="144"/>
        <v>3.85E-2</v>
      </c>
      <c r="O23" s="2887">
        <f t="shared" si="140"/>
        <v>1.95E-2</v>
      </c>
      <c r="P23" s="2887">
        <f t="shared" si="140"/>
        <v>4.4800000000000006E-2</v>
      </c>
      <c r="Q23" s="2887">
        <f t="shared" si="140"/>
        <v>1.41E-2</v>
      </c>
      <c r="R23" s="2902"/>
      <c r="S23" s="2901"/>
      <c r="T23" s="2887"/>
      <c r="U23" s="2887"/>
      <c r="V23" s="2887"/>
      <c r="X23" s="2886">
        <f>ROUND(SUMPRODUCT(PRODUCT(1+N23:N$31)),4)</f>
        <v>1.1702999999999999</v>
      </c>
      <c r="Y23" s="2886">
        <f>ROUND(SUMPRODUCT(PRODUCT(1+O23:O$31)),4)</f>
        <v>1.1269</v>
      </c>
      <c r="Z23" s="2886">
        <f t="shared" si="0"/>
        <v>1.1269</v>
      </c>
      <c r="AA23" s="2886">
        <f>ROUND(SUMPRODUCT(PRODUCT(1+P23:P$31)),4)</f>
        <v>1.1858</v>
      </c>
      <c r="AB23" s="2886">
        <f>ROUND(SUMPRODUCT(PRODUCT(1+Q23:Q$31)),4)</f>
        <v>1.1152</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41"/>
        <v>346.720748986128</v>
      </c>
      <c r="C24" s="2899">
        <f t="shared" si="141"/>
        <v>284.30282172386285</v>
      </c>
      <c r="D24" s="2899">
        <f t="shared" si="142"/>
        <v>284.30282172386285</v>
      </c>
      <c r="E24" s="2899">
        <f t="shared" si="143"/>
        <v>479.58023546306947</v>
      </c>
      <c r="F24" s="2899">
        <f t="shared" si="143"/>
        <v>253.25788877571213</v>
      </c>
      <c r="G24" s="3588"/>
      <c r="H24" s="2900">
        <v>1</v>
      </c>
      <c r="I24" s="2900">
        <v>4.09</v>
      </c>
      <c r="J24" s="2900">
        <v>2.93</v>
      </c>
      <c r="K24" s="2900">
        <v>4.54</v>
      </c>
      <c r="L24" s="2906">
        <v>1.48</v>
      </c>
      <c r="N24" s="2901">
        <f t="shared" si="144"/>
        <v>4.0899999999999999E-2</v>
      </c>
      <c r="O24" s="2887">
        <f t="shared" si="140"/>
        <v>2.9300000000000003E-2</v>
      </c>
      <c r="P24" s="2887">
        <f t="shared" si="140"/>
        <v>4.5400000000000003E-2</v>
      </c>
      <c r="Q24" s="2887">
        <f t="shared" si="140"/>
        <v>1.4800000000000001E-2</v>
      </c>
      <c r="R24" s="2902"/>
      <c r="S24" s="2903">
        <f>B24/B25-1</f>
        <v>4.1203450408792808E-2</v>
      </c>
      <c r="T24" s="2904">
        <f>C24/C25-1</f>
        <v>2.6363977342465095E-2</v>
      </c>
      <c r="U24" s="2904">
        <f>E24/E25-1</f>
        <v>4.4837114298626357E-2</v>
      </c>
      <c r="V24" s="2904">
        <f>F24/F25-1</f>
        <v>1.7099954922538574E-2</v>
      </c>
      <c r="X24" s="2886">
        <f>ROUND(SUMPRODUCT(PRODUCT(1+N24:N$31)),4)</f>
        <v>1.1269</v>
      </c>
      <c r="Y24" s="2886">
        <f>ROUND(SUMPRODUCT(PRODUCT(1+O24:O$31)),4)</f>
        <v>1.1052999999999999</v>
      </c>
      <c r="Z24" s="2886">
        <f t="shared" si="0"/>
        <v>1.1052999999999999</v>
      </c>
      <c r="AA24" s="2886">
        <f>ROUND(SUMPRODUCT(PRODUCT(1+P24:P$31)),4)</f>
        <v>1.1349</v>
      </c>
      <c r="AB24" s="2886">
        <f>ROUND(SUMPRODUCT(PRODUCT(1+Q24:Q$31)),4)</f>
        <v>1.0996999999999999</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42"/>
        <v>277</v>
      </c>
      <c r="E25" s="2920">
        <v>459</v>
      </c>
      <c r="F25" s="2921">
        <v>249</v>
      </c>
      <c r="G25" s="3587">
        <v>2015</v>
      </c>
      <c r="H25" s="2922">
        <v>4</v>
      </c>
      <c r="I25" s="2922">
        <v>1.63</v>
      </c>
      <c r="J25" s="2922">
        <v>1.1100000000000001</v>
      </c>
      <c r="K25" s="2922">
        <v>1.77</v>
      </c>
      <c r="L25" s="2923">
        <v>1.89</v>
      </c>
      <c r="N25" s="2917">
        <f t="shared" si="144"/>
        <v>1.6299999999999999E-2</v>
      </c>
      <c r="O25" s="2918">
        <f t="shared" si="140"/>
        <v>1.11E-2</v>
      </c>
      <c r="P25" s="2918">
        <f t="shared" si="140"/>
        <v>1.77E-2</v>
      </c>
      <c r="Q25" s="2918">
        <f t="shared" si="140"/>
        <v>1.89E-2</v>
      </c>
      <c r="R25" s="2902"/>
      <c r="X25" s="2886">
        <f>ROUND(SUMPRODUCT(PRODUCT(1+N25:N$31)),4)</f>
        <v>1.0826</v>
      </c>
      <c r="Y25" s="2886">
        <f>ROUND(SUMPRODUCT(PRODUCT(1+O25:O$31)),4)</f>
        <v>1.0738000000000001</v>
      </c>
      <c r="Z25" s="2886">
        <f t="shared" si="0"/>
        <v>1.0738000000000001</v>
      </c>
      <c r="AA25" s="2886">
        <f>ROUND(SUMPRODUCT(PRODUCT(1+P25:P$31)),4)</f>
        <v>1.0855999999999999</v>
      </c>
      <c r="AB25" s="2886">
        <f>ROUND(SUMPRODUCT(PRODUCT(1+Q25:Q$31)),4)</f>
        <v>1.0837000000000001</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45">B25/(1+N25)</f>
        <v>327.65915576109415</v>
      </c>
      <c r="C26" s="2899">
        <f t="shared" si="145"/>
        <v>273.95905449510434</v>
      </c>
      <c r="D26" s="2899">
        <f t="shared" si="142"/>
        <v>273.95905449510434</v>
      </c>
      <c r="E26" s="2899">
        <f t="shared" ref="E26:F28" si="146">E25/(1+P25)</f>
        <v>451.01699911565294</v>
      </c>
      <c r="F26" s="2899">
        <f t="shared" si="146"/>
        <v>244.38119540681129</v>
      </c>
      <c r="G26" s="3585"/>
      <c r="H26" s="2925">
        <v>3</v>
      </c>
      <c r="I26" s="2925">
        <v>1.65</v>
      </c>
      <c r="J26" s="2925">
        <v>0.92</v>
      </c>
      <c r="K26" s="2925">
        <v>1.88</v>
      </c>
      <c r="L26" s="2926">
        <v>1.26</v>
      </c>
      <c r="N26" s="2901">
        <f t="shared" si="144"/>
        <v>1.6500000000000001E-2</v>
      </c>
      <c r="O26" s="2919">
        <f t="shared" si="140"/>
        <v>9.1999999999999998E-3</v>
      </c>
      <c r="P26" s="2919">
        <f t="shared" si="140"/>
        <v>1.8799999999999997E-2</v>
      </c>
      <c r="Q26" s="2919">
        <f t="shared" si="140"/>
        <v>1.26E-2</v>
      </c>
      <c r="R26" s="2902"/>
      <c r="S26" s="2901"/>
      <c r="T26" s="2887"/>
      <c r="U26" s="2887"/>
      <c r="V26" s="2887"/>
      <c r="X26" s="2886">
        <f>ROUND(SUMPRODUCT(PRODUCT(1+N26:N$31)),4)</f>
        <v>1.0651999999999999</v>
      </c>
      <c r="Y26" s="2886">
        <f>ROUND(SUMPRODUCT(PRODUCT(1+O26:O$31)),4)</f>
        <v>1.0621</v>
      </c>
      <c r="Z26" s="2886">
        <f t="shared" si="0"/>
        <v>1.0621</v>
      </c>
      <c r="AA26" s="2886">
        <f>ROUND(SUMPRODUCT(PRODUCT(1+P26:P$31)),4)</f>
        <v>1.0668</v>
      </c>
      <c r="AB26" s="2886">
        <f>ROUND(SUMPRODUCT(PRODUCT(1+Q26:Q$31)),4)</f>
        <v>1.0636000000000001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45"/>
        <v>322.34053690220776</v>
      </c>
      <c r="C27" s="2899">
        <f t="shared" si="145"/>
        <v>271.46160770422546</v>
      </c>
      <c r="D27" s="2899">
        <f t="shared" si="142"/>
        <v>271.46160770422546</v>
      </c>
      <c r="E27" s="2899">
        <f t="shared" si="146"/>
        <v>442.69434542172456</v>
      </c>
      <c r="F27" s="2899">
        <f t="shared" si="146"/>
        <v>241.34030753190925</v>
      </c>
      <c r="G27" s="3585"/>
      <c r="H27" s="2913">
        <v>2</v>
      </c>
      <c r="I27" s="2913">
        <v>0.77</v>
      </c>
      <c r="J27" s="2913">
        <v>0.69</v>
      </c>
      <c r="K27" s="2913">
        <v>0.8</v>
      </c>
      <c r="L27" s="2914">
        <v>0.88</v>
      </c>
      <c r="N27" s="2901">
        <f t="shared" si="144"/>
        <v>7.7000000000000002E-3</v>
      </c>
      <c r="O27" s="2919">
        <f t="shared" si="140"/>
        <v>6.8999999999999999E-3</v>
      </c>
      <c r="P27" s="2919">
        <f t="shared" si="140"/>
        <v>8.0000000000000002E-3</v>
      </c>
      <c r="Q27" s="2919">
        <f t="shared" si="140"/>
        <v>8.8000000000000005E-3</v>
      </c>
      <c r="R27" s="2902"/>
      <c r="S27" s="2901"/>
      <c r="T27" s="2887"/>
      <c r="U27" s="2887"/>
      <c r="V27" s="2887"/>
      <c r="X27" s="2886">
        <f>ROUND(SUMPRODUCT(PRODUCT(1+N27:N$31)),4)</f>
        <v>1.048</v>
      </c>
      <c r="Y27" s="2886">
        <f>ROUND(SUMPRODUCT(PRODUCT(1+O27:O$31)),4)</f>
        <v>1.0524</v>
      </c>
      <c r="Z27" s="2886">
        <f t="shared" si="0"/>
        <v>1.0524</v>
      </c>
      <c r="AA27" s="2886">
        <f>ROUND(SUMPRODUCT(PRODUCT(1+P27:P$31)),4)</f>
        <v>1.0470999999999999</v>
      </c>
      <c r="AB27" s="2886">
        <f>ROUND(SUMPRODUCT(PRODUCT(1+Q27:Q$31)),4)</f>
        <v>1.0504</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45"/>
        <v>319.87748030386797</v>
      </c>
      <c r="C28" s="2899">
        <f t="shared" si="145"/>
        <v>269.60135833173649</v>
      </c>
      <c r="D28" s="2899">
        <f t="shared" si="142"/>
        <v>269.60135833173649</v>
      </c>
      <c r="E28" s="2899">
        <f t="shared" si="146"/>
        <v>439.18089823583784</v>
      </c>
      <c r="F28" s="2899">
        <f t="shared" si="146"/>
        <v>239.23503918706311</v>
      </c>
      <c r="G28" s="3588"/>
      <c r="H28" s="2900">
        <v>1</v>
      </c>
      <c r="I28" s="2900">
        <v>0.51</v>
      </c>
      <c r="J28" s="2900">
        <v>0.54</v>
      </c>
      <c r="K28" s="2900">
        <v>0.48</v>
      </c>
      <c r="L28" s="2906">
        <v>0.93</v>
      </c>
      <c r="N28" s="2903">
        <f t="shared" si="144"/>
        <v>5.1000000000000004E-3</v>
      </c>
      <c r="O28" s="2904">
        <f t="shared" si="140"/>
        <v>5.4000000000000003E-3</v>
      </c>
      <c r="P28" s="2904">
        <f t="shared" si="140"/>
        <v>4.7999999999999996E-3</v>
      </c>
      <c r="Q28" s="2904">
        <f t="shared" si="140"/>
        <v>9.300000000000001E-3</v>
      </c>
      <c r="R28" s="2902"/>
      <c r="S28" s="2903">
        <f>B28/B29-1</f>
        <v>5.9040261127922822E-3</v>
      </c>
      <c r="T28" s="2904">
        <f>C28/C29-1</f>
        <v>5.9752176557332781E-3</v>
      </c>
      <c r="U28" s="2904">
        <f>E28/E29-1</f>
        <v>4.9906138119859556E-3</v>
      </c>
      <c r="V28" s="2904">
        <f>F28/F29-1</f>
        <v>9.4305450930933787E-3</v>
      </c>
      <c r="X28" s="2886">
        <f>ROUND(SUMPRODUCT(PRODUCT(1+N28:N$31)),4)</f>
        <v>1.0399</v>
      </c>
      <c r="Y28" s="2886">
        <f>ROUND(SUMPRODUCT(PRODUCT(1+O28:O$31)),4)</f>
        <v>1.0451999999999999</v>
      </c>
      <c r="Z28" s="2886">
        <f t="shared" si="0"/>
        <v>1.0451999999999999</v>
      </c>
      <c r="AA28" s="2886">
        <f>ROUND(SUMPRODUCT(PRODUCT(1+P28:P$31)),4)</f>
        <v>1.0387999999999999</v>
      </c>
      <c r="AB28" s="2886">
        <f>ROUND(SUMPRODUCT(PRODUCT(1+Q28:Q$31)),4)</f>
        <v>1.0411999999999999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42"/>
        <v>268</v>
      </c>
      <c r="E29" s="2927">
        <v>437</v>
      </c>
      <c r="F29" s="2928">
        <v>237</v>
      </c>
      <c r="G29" s="3587">
        <v>2014</v>
      </c>
      <c r="H29" s="2922">
        <v>4</v>
      </c>
      <c r="I29" s="2922">
        <v>0.21</v>
      </c>
      <c r="J29" s="2922">
        <v>0.41</v>
      </c>
      <c r="K29" s="2922">
        <v>0.12</v>
      </c>
      <c r="L29" s="2923">
        <v>0.89</v>
      </c>
      <c r="N29" s="2901">
        <f t="shared" si="144"/>
        <v>2.0999999999999999E-3</v>
      </c>
      <c r="O29" s="2887">
        <f t="shared" si="140"/>
        <v>4.0999999999999995E-3</v>
      </c>
      <c r="P29" s="2887">
        <f t="shared" si="140"/>
        <v>1.1999999999999999E-3</v>
      </c>
      <c r="Q29" s="2887">
        <f t="shared" si="140"/>
        <v>8.8999999999999999E-3</v>
      </c>
      <c r="R29" s="2902"/>
      <c r="S29" s="2911"/>
      <c r="T29" s="2912"/>
      <c r="U29" s="2912"/>
      <c r="V29" s="2912"/>
      <c r="X29" s="2886">
        <f>ROUND(SUMPRODUCT(PRODUCT(1+N29:N$31)),4)</f>
        <v>1.0347</v>
      </c>
      <c r="Y29" s="2886">
        <f>ROUND(SUMPRODUCT(PRODUCT(1+O29:O$31)),4)</f>
        <v>1.0395000000000001</v>
      </c>
      <c r="Z29" s="2886">
        <f t="shared" si="0"/>
        <v>1.0395000000000001</v>
      </c>
      <c r="AA29" s="2886">
        <f>ROUND(SUMPRODUCT(PRODUCT(1+P29:P$31)),4)</f>
        <v>1.0338000000000001</v>
      </c>
      <c r="AB29" s="2886">
        <f>ROUND(SUMPRODUCT(PRODUCT(1+Q29:Q$31)),4)</f>
        <v>1.0316000000000001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47">B29/(1+N29)</f>
        <v>317.33359944117353</v>
      </c>
      <c r="C30" s="2899">
        <f t="shared" si="147"/>
        <v>266.90568668459315</v>
      </c>
      <c r="D30" s="2899">
        <f t="shared" si="142"/>
        <v>266.90568668459315</v>
      </c>
      <c r="E30" s="2899">
        <f t="shared" ref="E30:F32" si="148">E29/(1+P29)</f>
        <v>436.47622852576905</v>
      </c>
      <c r="F30" s="2899">
        <f t="shared" si="148"/>
        <v>234.90930716622066</v>
      </c>
      <c r="G30" s="3585"/>
      <c r="H30" s="2929">
        <v>3</v>
      </c>
      <c r="I30" s="2929">
        <v>0.83</v>
      </c>
      <c r="J30" s="2929">
        <v>1.47</v>
      </c>
      <c r="K30" s="2929">
        <v>0.65</v>
      </c>
      <c r="L30" s="2930">
        <v>0.72</v>
      </c>
      <c r="N30" s="2901">
        <f t="shared" si="144"/>
        <v>8.3000000000000001E-3</v>
      </c>
      <c r="O30" s="2887">
        <f t="shared" si="140"/>
        <v>1.47E-2</v>
      </c>
      <c r="P30" s="2887">
        <f t="shared" si="140"/>
        <v>6.5000000000000006E-3</v>
      </c>
      <c r="Q30" s="2887">
        <f t="shared" si="140"/>
        <v>7.1999999999999998E-3</v>
      </c>
      <c r="R30" s="2902"/>
      <c r="S30" s="2901"/>
      <c r="T30" s="2887"/>
      <c r="U30" s="2887"/>
      <c r="V30" s="2887"/>
      <c r="X30" s="2886">
        <f>ROUND(SUMPRODUCT(PRODUCT(1+N30:N$31)),4)</f>
        <v>1.0325</v>
      </c>
      <c r="Y30" s="2886">
        <f>ROUND(SUMPRODUCT(PRODUCT(1+O30:O$31)),4)</f>
        <v>1.0353000000000001</v>
      </c>
      <c r="Z30" s="2886">
        <f t="shared" ref="Z30:Z31" si="149">Y30</f>
        <v>1.0353000000000001</v>
      </c>
      <c r="AA30" s="2886">
        <f>ROUND(SUMPRODUCT(PRODUCT(1+P30:P$31)),4)</f>
        <v>1.0326</v>
      </c>
      <c r="AB30" s="2886">
        <f>ROUND(SUMPRODUCT(PRODUCT(1+Q30:Q$31)),4)</f>
        <v>1.0225</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47"/>
        <v>314.72141172386546</v>
      </c>
      <c r="C31" s="2899">
        <f t="shared" si="147"/>
        <v>263.03901319069001</v>
      </c>
      <c r="D31" s="2899">
        <f t="shared" si="142"/>
        <v>263.03901319069001</v>
      </c>
      <c r="E31" s="2899">
        <f t="shared" si="148"/>
        <v>433.65745506782821</v>
      </c>
      <c r="F31" s="2899">
        <f t="shared" si="148"/>
        <v>233.23005080045735</v>
      </c>
      <c r="G31" s="3585"/>
      <c r="H31" s="2922">
        <v>2</v>
      </c>
      <c r="I31" s="2922">
        <v>2.4</v>
      </c>
      <c r="J31" s="2922">
        <v>2.0299999999999998</v>
      </c>
      <c r="K31" s="2922">
        <v>2.59</v>
      </c>
      <c r="L31" s="2923">
        <v>1.52</v>
      </c>
      <c r="N31" s="2901">
        <f t="shared" si="144"/>
        <v>2.4E-2</v>
      </c>
      <c r="O31" s="2887">
        <f t="shared" si="140"/>
        <v>2.0299999999999999E-2</v>
      </c>
      <c r="P31" s="2887">
        <f t="shared" si="140"/>
        <v>2.5899999999999999E-2</v>
      </c>
      <c r="Q31" s="2887">
        <f t="shared" si="140"/>
        <v>1.52E-2</v>
      </c>
      <c r="R31" s="2902"/>
      <c r="S31" s="2901"/>
      <c r="T31" s="2887"/>
      <c r="U31" s="2887"/>
      <c r="V31" s="2887"/>
      <c r="X31" s="2886">
        <f>1+N31</f>
        <v>1.024</v>
      </c>
      <c r="Y31" s="2886">
        <f>1+O31</f>
        <v>1.0203</v>
      </c>
      <c r="Z31" s="2886">
        <f t="shared" si="149"/>
        <v>1.0203</v>
      </c>
      <c r="AA31" s="2886">
        <f>1+P31</f>
        <v>1.0259</v>
      </c>
      <c r="AB31" s="2886">
        <f>1+Q31</f>
        <v>1.0152000000000001</v>
      </c>
      <c r="AD31" s="2887">
        <f>ROUND(AVERAGE(I31:I$32)/100,4)</f>
        <v>2.69E-2</v>
      </c>
      <c r="AE31" s="2887">
        <f>ROUND(AVERAGE(J31:J$32)/100,4)</f>
        <v>2.1899999999999999E-2</v>
      </c>
      <c r="AF31" s="2887">
        <f t="shared" ref="AF31" si="150">AE31</f>
        <v>2.1899999999999999E-2</v>
      </c>
      <c r="AG31" s="2887">
        <f>ROUND(AVERAGE(K31:K$32)/100,4)</f>
        <v>2.9399999999999999E-2</v>
      </c>
      <c r="AH31" s="2887">
        <f>ROUND(AVERAGE(L31:L$32)/100,4)</f>
        <v>1.44E-2</v>
      </c>
    </row>
    <row r="32" spans="1:34" s="2935" customFormat="1" ht="13.5" thickBot="1">
      <c r="A32" s="2931" t="s">
        <v>951</v>
      </c>
      <c r="B32" s="2932">
        <f t="shared" si="147"/>
        <v>307.34512863658733</v>
      </c>
      <c r="C32" s="2932">
        <f t="shared" si="147"/>
        <v>257.80556031626975</v>
      </c>
      <c r="D32" s="2932">
        <f t="shared" si="142"/>
        <v>257.80556031626975</v>
      </c>
      <c r="E32" s="2932">
        <f t="shared" si="148"/>
        <v>422.70928459677179</v>
      </c>
      <c r="F32" s="2932">
        <f t="shared" si="148"/>
        <v>229.73803270336617</v>
      </c>
      <c r="G32" s="3588"/>
      <c r="H32" s="2933">
        <v>1</v>
      </c>
      <c r="I32" s="2933">
        <v>2.97</v>
      </c>
      <c r="J32" s="2933">
        <v>2.34</v>
      </c>
      <c r="K32" s="2933">
        <v>3.28</v>
      </c>
      <c r="L32" s="2934">
        <v>1.36</v>
      </c>
      <c r="N32" s="2936">
        <f t="shared" si="144"/>
        <v>2.9700000000000001E-2</v>
      </c>
      <c r="O32" s="2937">
        <f t="shared" si="140"/>
        <v>2.3399999999999997E-2</v>
      </c>
      <c r="P32" s="2937">
        <f t="shared" si="140"/>
        <v>3.2799999999999996E-2</v>
      </c>
      <c r="Q32" s="2937">
        <f t="shared" si="140"/>
        <v>1.3600000000000001E-2</v>
      </c>
      <c r="R32" s="2938"/>
      <c r="S32" s="2939">
        <f>B32/B33-1</f>
        <v>2.7910129219355539E-2</v>
      </c>
      <c r="T32" s="2940">
        <f>C32/C33-1</f>
        <v>2.3037937762975247E-2</v>
      </c>
      <c r="U32" s="2940">
        <f>E32/E33-1</f>
        <v>3.3519033243940788E-2</v>
      </c>
      <c r="V32" s="2940">
        <f>F32/F33-1</f>
        <v>1.2061818076502862E-2</v>
      </c>
      <c r="W32" s="2941" t="s">
        <v>2616</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2559</v>
      </c>
      <c r="B33" s="2920">
        <v>299</v>
      </c>
      <c r="C33" s="2920">
        <v>252</v>
      </c>
      <c r="D33" s="2920">
        <f t="shared" si="142"/>
        <v>252</v>
      </c>
      <c r="E33" s="2920">
        <v>409</v>
      </c>
      <c r="F33" s="2921">
        <v>227</v>
      </c>
      <c r="G33" s="3592">
        <v>2013</v>
      </c>
      <c r="H33" s="2943">
        <v>4</v>
      </c>
      <c r="I33" s="2943">
        <v>1.83</v>
      </c>
      <c r="J33" s="2943">
        <v>1.68</v>
      </c>
      <c r="K33" s="2943">
        <v>1.97</v>
      </c>
      <c r="L33" s="2944">
        <v>0.87</v>
      </c>
      <c r="N33" s="2917">
        <f t="shared" si="144"/>
        <v>1.83E-2</v>
      </c>
      <c r="O33" s="2918">
        <f t="shared" si="140"/>
        <v>1.6799999999999999E-2</v>
      </c>
      <c r="P33" s="2918">
        <f t="shared" si="140"/>
        <v>1.9699999999999999E-2</v>
      </c>
      <c r="Q33" s="2918">
        <f t="shared" si="140"/>
        <v>8.6999999999999994E-3</v>
      </c>
      <c r="R33" s="2902"/>
      <c r="S33" s="2911"/>
      <c r="T33" s="2912"/>
      <c r="U33" s="2912"/>
      <c r="V33" s="2912"/>
      <c r="X33" s="2912"/>
      <c r="Y33" s="2912"/>
      <c r="Z33" s="2912"/>
    </row>
    <row r="34" spans="1:26">
      <c r="A34" s="2898" t="s">
        <v>2560</v>
      </c>
      <c r="B34" s="2899">
        <f t="shared" ref="B34:C36" si="151">B33/(1+N33)</f>
        <v>293.62663262299913</v>
      </c>
      <c r="C34" s="2899">
        <f t="shared" si="151"/>
        <v>247.83634933123525</v>
      </c>
      <c r="D34" s="2899">
        <f t="shared" si="142"/>
        <v>247.83634933123525</v>
      </c>
      <c r="E34" s="2899">
        <f t="shared" ref="E34:F36" si="152">E33/(1+P33)</f>
        <v>401.09836226341076</v>
      </c>
      <c r="F34" s="2899">
        <f t="shared" si="152"/>
        <v>225.04213343908003</v>
      </c>
      <c r="G34" s="3593"/>
      <c r="H34" s="2925">
        <v>3</v>
      </c>
      <c r="I34" s="2925">
        <v>1.86</v>
      </c>
      <c r="J34" s="2925">
        <v>1.72</v>
      </c>
      <c r="K34" s="2925">
        <v>1.98</v>
      </c>
      <c r="L34" s="2926">
        <v>0.88</v>
      </c>
      <c r="N34" s="2901">
        <f t="shared" si="144"/>
        <v>1.8600000000000002E-2</v>
      </c>
      <c r="O34" s="2919">
        <f t="shared" si="140"/>
        <v>1.72E-2</v>
      </c>
      <c r="P34" s="2919">
        <f t="shared" si="140"/>
        <v>1.9799999999999998E-2</v>
      </c>
      <c r="Q34" s="2919">
        <f t="shared" si="140"/>
        <v>8.8000000000000005E-3</v>
      </c>
      <c r="R34" s="2902"/>
      <c r="S34" s="2901"/>
      <c r="T34" s="2887"/>
      <c r="U34" s="2887"/>
      <c r="V34" s="2887"/>
    </row>
    <row r="35" spans="1:26">
      <c r="A35" s="2898" t="s">
        <v>2561</v>
      </c>
      <c r="B35" s="2899">
        <f t="shared" si="151"/>
        <v>288.2649053828776</v>
      </c>
      <c r="C35" s="2899">
        <f t="shared" si="151"/>
        <v>243.64564425013293</v>
      </c>
      <c r="D35" s="2899">
        <f t="shared" si="142"/>
        <v>243.64564425013293</v>
      </c>
      <c r="E35" s="2899">
        <f t="shared" si="152"/>
        <v>393.31080825986544</v>
      </c>
      <c r="F35" s="2899">
        <f t="shared" si="152"/>
        <v>223.07903790551154</v>
      </c>
      <c r="G35" s="3593"/>
      <c r="H35" s="2913">
        <v>2</v>
      </c>
      <c r="I35" s="2913">
        <v>2.04</v>
      </c>
      <c r="J35" s="2913">
        <v>2.33</v>
      </c>
      <c r="K35" s="2913">
        <v>2.0699999999999998</v>
      </c>
      <c r="L35" s="2914">
        <v>0.69</v>
      </c>
      <c r="N35" s="2901">
        <f t="shared" si="144"/>
        <v>2.0400000000000001E-2</v>
      </c>
      <c r="O35" s="2919">
        <f t="shared" si="140"/>
        <v>2.3300000000000001E-2</v>
      </c>
      <c r="P35" s="2919">
        <f t="shared" si="140"/>
        <v>2.07E-2</v>
      </c>
      <c r="Q35" s="2919">
        <f t="shared" si="140"/>
        <v>6.8999999999999999E-3</v>
      </c>
      <c r="R35" s="2902"/>
      <c r="S35" s="2901"/>
      <c r="T35" s="2887"/>
      <c r="U35" s="2887"/>
      <c r="V35" s="2887"/>
      <c r="X35" s="2945"/>
      <c r="Y35" s="2946"/>
    </row>
    <row r="36" spans="1:26">
      <c r="A36" s="2898" t="s">
        <v>2562</v>
      </c>
      <c r="B36" s="2899">
        <f t="shared" si="151"/>
        <v>282.50186729015837</v>
      </c>
      <c r="C36" s="2899">
        <f t="shared" si="151"/>
        <v>238.09796174155468</v>
      </c>
      <c r="D36" s="2899">
        <f t="shared" si="142"/>
        <v>238.09796174155468</v>
      </c>
      <c r="E36" s="2899">
        <f t="shared" si="152"/>
        <v>385.33438646014054</v>
      </c>
      <c r="F36" s="2899">
        <f t="shared" si="152"/>
        <v>221.55034055567739</v>
      </c>
      <c r="G36" s="3594"/>
      <c r="H36" s="2900">
        <v>1</v>
      </c>
      <c r="I36" s="2900">
        <v>1.67</v>
      </c>
      <c r="J36" s="2900">
        <v>1.31</v>
      </c>
      <c r="K36" s="2900">
        <v>1.85</v>
      </c>
      <c r="L36" s="2906">
        <v>0.96</v>
      </c>
      <c r="N36" s="2903">
        <f t="shared" si="144"/>
        <v>1.67E-2</v>
      </c>
      <c r="O36" s="2904">
        <f t="shared" si="140"/>
        <v>1.3100000000000001E-2</v>
      </c>
      <c r="P36" s="2904">
        <f t="shared" si="140"/>
        <v>1.8500000000000003E-2</v>
      </c>
      <c r="Q36" s="2904">
        <f t="shared" si="140"/>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2563</v>
      </c>
      <c r="B37" s="2948">
        <v>278</v>
      </c>
      <c r="C37" s="2948">
        <v>234</v>
      </c>
      <c r="D37" s="2948">
        <f t="shared" si="142"/>
        <v>234</v>
      </c>
      <c r="E37" s="2948">
        <v>379</v>
      </c>
      <c r="F37" s="2949">
        <v>220</v>
      </c>
      <c r="G37" s="3587">
        <v>2012</v>
      </c>
      <c r="H37" s="2922">
        <v>4</v>
      </c>
      <c r="I37" s="2922">
        <v>0.91</v>
      </c>
      <c r="J37" s="2922">
        <v>0.68</v>
      </c>
      <c r="K37" s="2922">
        <v>0.98</v>
      </c>
      <c r="L37" s="2923">
        <v>0.9</v>
      </c>
      <c r="N37" s="2901">
        <f t="shared" si="144"/>
        <v>9.1000000000000004E-3</v>
      </c>
      <c r="O37" s="2887">
        <f t="shared" si="144"/>
        <v>6.8000000000000005E-3</v>
      </c>
      <c r="P37" s="2887">
        <f t="shared" si="144"/>
        <v>9.7999999999999997E-3</v>
      </c>
      <c r="Q37" s="2887">
        <f t="shared" si="144"/>
        <v>9.0000000000000011E-3</v>
      </c>
      <c r="R37" s="2902"/>
      <c r="S37" s="2911"/>
      <c r="T37" s="2912"/>
      <c r="U37" s="2912"/>
      <c r="V37" s="2912"/>
      <c r="X37" s="2912"/>
      <c r="Y37" s="2912"/>
      <c r="Z37" s="2912"/>
    </row>
    <row r="38" spans="1:26">
      <c r="A38" s="2898" t="s">
        <v>2564</v>
      </c>
      <c r="B38" s="2899">
        <f>B37/(1+N37)</f>
        <v>275.49301357645425</v>
      </c>
      <c r="C38" s="2899">
        <f>C37/(1+O37)</f>
        <v>232.41954707985698</v>
      </c>
      <c r="D38" s="2899">
        <f t="shared" si="142"/>
        <v>232.41954707985698</v>
      </c>
      <c r="E38" s="2899">
        <f t="shared" ref="E38:F40" si="153">E37/(1+P37)</f>
        <v>375.32184591008121</v>
      </c>
      <c r="F38" s="2899">
        <f t="shared" si="153"/>
        <v>218.03766105054513</v>
      </c>
      <c r="G38" s="3585"/>
      <c r="H38" s="2925">
        <v>3</v>
      </c>
      <c r="I38" s="2925">
        <v>0.09</v>
      </c>
      <c r="J38" s="2925">
        <v>0.28999999999999998</v>
      </c>
      <c r="K38" s="2925">
        <v>-0.01</v>
      </c>
      <c r="L38" s="2926">
        <v>0.57999999999999996</v>
      </c>
      <c r="N38" s="2901">
        <f t="shared" si="144"/>
        <v>8.9999999999999998E-4</v>
      </c>
      <c r="O38" s="2887">
        <f t="shared" si="144"/>
        <v>2.8999999999999998E-3</v>
      </c>
      <c r="P38" s="2887">
        <f t="shared" si="144"/>
        <v>-1E-4</v>
      </c>
      <c r="Q38" s="2887">
        <f t="shared" si="144"/>
        <v>5.7999999999999996E-3</v>
      </c>
      <c r="R38" s="2902"/>
      <c r="S38" s="2901"/>
      <c r="T38" s="2887"/>
      <c r="U38" s="2887"/>
      <c r="V38" s="2887"/>
    </row>
    <row r="39" spans="1:26">
      <c r="A39" s="2898" t="s">
        <v>2565</v>
      </c>
      <c r="B39" s="2899">
        <f>B38/(1+N38)</f>
        <v>275.24529281292263</v>
      </c>
      <c r="C39" s="2899">
        <f>C38/(1+O38)</f>
        <v>231.74747938962707</v>
      </c>
      <c r="D39" s="2899">
        <f t="shared" si="142"/>
        <v>231.74747938962707</v>
      </c>
      <c r="E39" s="2899">
        <f t="shared" si="153"/>
        <v>375.35938184826603</v>
      </c>
      <c r="F39" s="2899">
        <f t="shared" si="153"/>
        <v>216.78033510692495</v>
      </c>
      <c r="G39" s="3585"/>
      <c r="H39" s="2913">
        <v>2</v>
      </c>
      <c r="I39" s="2913">
        <v>0.02</v>
      </c>
      <c r="J39" s="2913">
        <v>0.12</v>
      </c>
      <c r="K39" s="2913">
        <v>-0.08</v>
      </c>
      <c r="L39" s="2914">
        <v>1.24</v>
      </c>
      <c r="N39" s="2901">
        <f t="shared" si="144"/>
        <v>2.0000000000000001E-4</v>
      </c>
      <c r="O39" s="2887">
        <f t="shared" si="144"/>
        <v>1.1999999999999999E-3</v>
      </c>
      <c r="P39" s="2887">
        <f t="shared" si="144"/>
        <v>-8.0000000000000004E-4</v>
      </c>
      <c r="Q39" s="2887">
        <f t="shared" si="144"/>
        <v>1.24E-2</v>
      </c>
      <c r="R39" s="2902"/>
      <c r="S39" s="2901"/>
      <c r="T39" s="2887"/>
      <c r="U39" s="2887"/>
      <c r="V39" s="2887"/>
    </row>
    <row r="40" spans="1:26" ht="13.5" thickBot="1">
      <c r="A40" s="2898" t="s">
        <v>2566</v>
      </c>
      <c r="B40" s="2899">
        <f>B39/(1+N39)</f>
        <v>275.19025476197027</v>
      </c>
      <c r="C40" s="2950">
        <v>232</v>
      </c>
      <c r="D40" s="2950">
        <f t="shared" si="142"/>
        <v>232</v>
      </c>
      <c r="E40" s="2899">
        <f t="shared" si="153"/>
        <v>375.65990977608692</v>
      </c>
      <c r="F40" s="2899">
        <f t="shared" si="153"/>
        <v>214.12518283971252</v>
      </c>
      <c r="G40" s="3588"/>
      <c r="H40" s="2900">
        <v>1</v>
      </c>
      <c r="I40" s="2900">
        <v>0.02</v>
      </c>
      <c r="J40" s="2900">
        <v>0.13</v>
      </c>
      <c r="K40" s="2900">
        <v>-0.04</v>
      </c>
      <c r="L40" s="2906">
        <v>0.46</v>
      </c>
      <c r="N40" s="2901">
        <f t="shared" si="144"/>
        <v>2.0000000000000001E-4</v>
      </c>
      <c r="O40" s="2887">
        <f t="shared" si="144"/>
        <v>1.2999999999999999E-3</v>
      </c>
      <c r="P40" s="2887">
        <f t="shared" si="144"/>
        <v>-4.0000000000000002E-4</v>
      </c>
      <c r="Q40" s="2887">
        <f t="shared" si="144"/>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2567</v>
      </c>
      <c r="B41" s="2920">
        <v>275</v>
      </c>
      <c r="C41" s="2920">
        <v>232</v>
      </c>
      <c r="D41" s="2920">
        <f t="shared" si="142"/>
        <v>232</v>
      </c>
      <c r="E41" s="2920">
        <v>376</v>
      </c>
      <c r="F41" s="2921">
        <v>213</v>
      </c>
      <c r="G41" s="3587">
        <v>2011</v>
      </c>
      <c r="H41" s="2922">
        <v>4</v>
      </c>
      <c r="I41" s="2922">
        <v>-0.2</v>
      </c>
      <c r="J41" s="2922">
        <v>0.04</v>
      </c>
      <c r="K41" s="2922">
        <v>-0.34</v>
      </c>
      <c r="L41" s="2923">
        <v>0.46</v>
      </c>
      <c r="N41" s="2917">
        <f t="shared" si="144"/>
        <v>-2E-3</v>
      </c>
      <c r="O41" s="2918">
        <f t="shared" si="144"/>
        <v>4.0000000000000002E-4</v>
      </c>
      <c r="P41" s="2918">
        <f t="shared" si="144"/>
        <v>-3.4000000000000002E-3</v>
      </c>
      <c r="Q41" s="2918">
        <f t="shared" si="144"/>
        <v>4.5999999999999999E-3</v>
      </c>
      <c r="R41" s="2902"/>
      <c r="S41" s="2911"/>
      <c r="T41" s="2912"/>
      <c r="U41" s="2912"/>
      <c r="V41" s="2912"/>
      <c r="X41" s="2912"/>
      <c r="Y41" s="2912"/>
      <c r="Z41" s="2912"/>
    </row>
    <row r="42" spans="1:26">
      <c r="A42" s="2898" t="s">
        <v>2568</v>
      </c>
      <c r="B42" s="2899">
        <f t="shared" ref="B42:C44" si="154">B41/(1+N41)</f>
        <v>275.55110220440883</v>
      </c>
      <c r="C42" s="2899">
        <f t="shared" si="154"/>
        <v>231.90723710515795</v>
      </c>
      <c r="D42" s="2899">
        <f t="shared" si="142"/>
        <v>231.90723710515795</v>
      </c>
      <c r="E42" s="2899">
        <f t="shared" ref="E42:F44" si="155">E41/(1+P41)</f>
        <v>377.28276138872161</v>
      </c>
      <c r="F42" s="2899">
        <f t="shared" si="155"/>
        <v>212.02468644236512</v>
      </c>
      <c r="G42" s="3585">
        <v>2011</v>
      </c>
      <c r="H42" s="2925">
        <v>3</v>
      </c>
      <c r="I42" s="2925">
        <v>0.13</v>
      </c>
      <c r="J42" s="2925">
        <v>0.75</v>
      </c>
      <c r="K42" s="2925">
        <v>-0.08</v>
      </c>
      <c r="L42" s="2926">
        <v>0.53</v>
      </c>
      <c r="N42" s="2901">
        <f t="shared" si="144"/>
        <v>1.2999999999999999E-3</v>
      </c>
      <c r="O42" s="2919">
        <f t="shared" si="144"/>
        <v>7.4999999999999997E-3</v>
      </c>
      <c r="P42" s="2919">
        <f t="shared" si="144"/>
        <v>-8.0000000000000004E-4</v>
      </c>
      <c r="Q42" s="2919">
        <f t="shared" si="144"/>
        <v>5.3E-3</v>
      </c>
      <c r="R42" s="2902"/>
      <c r="S42" s="2901"/>
      <c r="T42" s="2887"/>
      <c r="U42" s="2887"/>
      <c r="V42" s="2887"/>
    </row>
    <row r="43" spans="1:26">
      <c r="A43" s="2898" t="s">
        <v>2569</v>
      </c>
      <c r="B43" s="2899">
        <f t="shared" si="154"/>
        <v>275.19335084830601</v>
      </c>
      <c r="C43" s="2899">
        <f t="shared" si="154"/>
        <v>230.18088050139744</v>
      </c>
      <c r="D43" s="2899">
        <f t="shared" si="142"/>
        <v>230.18088050139744</v>
      </c>
      <c r="E43" s="2899">
        <f t="shared" si="155"/>
        <v>377.58482925212331</v>
      </c>
      <c r="F43" s="2899">
        <f t="shared" si="155"/>
        <v>210.90687997847917</v>
      </c>
      <c r="G43" s="3585">
        <v>2011</v>
      </c>
      <c r="H43" s="2913">
        <v>2</v>
      </c>
      <c r="I43" s="2913">
        <v>-0.4</v>
      </c>
      <c r="J43" s="2913">
        <v>0.17</v>
      </c>
      <c r="K43" s="2913">
        <v>-0.57999999999999996</v>
      </c>
      <c r="L43" s="2914">
        <v>-0.2</v>
      </c>
      <c r="N43" s="2901">
        <f t="shared" si="144"/>
        <v>-4.0000000000000001E-3</v>
      </c>
      <c r="O43" s="2919">
        <f t="shared" si="144"/>
        <v>1.7000000000000001E-3</v>
      </c>
      <c r="P43" s="2919">
        <f t="shared" si="144"/>
        <v>-5.7999999999999996E-3</v>
      </c>
      <c r="Q43" s="2919">
        <f t="shared" si="144"/>
        <v>-2E-3</v>
      </c>
      <c r="R43" s="2902"/>
      <c r="S43" s="2901"/>
      <c r="T43" s="2887"/>
      <c r="U43" s="2887"/>
      <c r="V43" s="2887"/>
    </row>
    <row r="44" spans="1:26" ht="13.5" thickBot="1">
      <c r="A44" s="2898" t="s">
        <v>2570</v>
      </c>
      <c r="B44" s="2899">
        <f t="shared" si="154"/>
        <v>276.29854502841971</v>
      </c>
      <c r="C44" s="2899">
        <f t="shared" si="154"/>
        <v>229.79023709833027</v>
      </c>
      <c r="D44" s="2899">
        <f t="shared" si="142"/>
        <v>229.79023709833027</v>
      </c>
      <c r="E44" s="2899">
        <f t="shared" si="155"/>
        <v>379.78759731655936</v>
      </c>
      <c r="F44" s="2899">
        <f t="shared" si="155"/>
        <v>211.32953905659235</v>
      </c>
      <c r="G44" s="3588">
        <v>2011</v>
      </c>
      <c r="H44" s="2900">
        <v>1</v>
      </c>
      <c r="I44" s="2900">
        <v>2.65</v>
      </c>
      <c r="J44" s="2900">
        <v>3.76</v>
      </c>
      <c r="K44" s="2900">
        <v>1.89</v>
      </c>
      <c r="L44" s="2906">
        <v>7.95</v>
      </c>
      <c r="N44" s="2903">
        <f t="shared" si="144"/>
        <v>2.6499999999999999E-2</v>
      </c>
      <c r="O44" s="2904">
        <f t="shared" si="144"/>
        <v>3.7599999999999995E-2</v>
      </c>
      <c r="P44" s="2904">
        <f t="shared" si="144"/>
        <v>1.89E-2</v>
      </c>
      <c r="Q44" s="2904">
        <f t="shared" si="144"/>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2571</v>
      </c>
      <c r="B45" s="2920">
        <v>269</v>
      </c>
      <c r="C45" s="2920">
        <v>221</v>
      </c>
      <c r="D45" s="2920">
        <f t="shared" si="142"/>
        <v>221</v>
      </c>
      <c r="E45" s="2920">
        <v>373</v>
      </c>
      <c r="F45" s="2921">
        <v>196</v>
      </c>
      <c r="G45" s="3587">
        <v>2010</v>
      </c>
      <c r="H45" s="2922">
        <v>4</v>
      </c>
      <c r="I45" s="2922">
        <v>5.72</v>
      </c>
      <c r="J45" s="2922">
        <v>6.57</v>
      </c>
      <c r="K45" s="2922">
        <v>5.72</v>
      </c>
      <c r="L45" s="2923">
        <v>2.72</v>
      </c>
      <c r="N45" s="2901">
        <f t="shared" si="144"/>
        <v>5.7200000000000001E-2</v>
      </c>
      <c r="O45" s="2887">
        <f t="shared" si="144"/>
        <v>6.5700000000000008E-2</v>
      </c>
      <c r="P45" s="2887">
        <f t="shared" si="144"/>
        <v>5.7200000000000001E-2</v>
      </c>
      <c r="Q45" s="2887">
        <f t="shared" si="144"/>
        <v>2.7200000000000002E-2</v>
      </c>
      <c r="R45" s="2902"/>
      <c r="S45" s="2911"/>
      <c r="T45" s="2912"/>
      <c r="U45" s="2912"/>
      <c r="V45" s="2912"/>
      <c r="X45" s="2912"/>
      <c r="Y45" s="2912"/>
      <c r="Z45" s="2912"/>
    </row>
    <row r="46" spans="1:26">
      <c r="A46" s="2898" t="s">
        <v>2572</v>
      </c>
      <c r="B46" s="2899">
        <f t="shared" ref="B46:C48" si="156">B45/(1+N45)</f>
        <v>254.44570563753314</v>
      </c>
      <c r="C46" s="2899">
        <f t="shared" si="156"/>
        <v>207.37543398705074</v>
      </c>
      <c r="D46" s="2899">
        <f t="shared" si="142"/>
        <v>207.37543398705074</v>
      </c>
      <c r="E46" s="2899">
        <f t="shared" ref="E46:F48" si="157">E45/(1+P45)</f>
        <v>352.81876655315932</v>
      </c>
      <c r="F46" s="2899">
        <f t="shared" si="157"/>
        <v>190.809968847352</v>
      </c>
      <c r="G46" s="3585">
        <v>2010</v>
      </c>
      <c r="H46" s="2925">
        <v>3</v>
      </c>
      <c r="I46" s="2925">
        <v>4.7300000000000004</v>
      </c>
      <c r="J46" s="2925">
        <v>3.9</v>
      </c>
      <c r="K46" s="2925">
        <v>5.03</v>
      </c>
      <c r="L46" s="2926">
        <v>4.21</v>
      </c>
      <c r="N46" s="2901">
        <f t="shared" si="144"/>
        <v>4.7300000000000002E-2</v>
      </c>
      <c r="O46" s="2887">
        <f t="shared" si="144"/>
        <v>3.9E-2</v>
      </c>
      <c r="P46" s="2887">
        <f t="shared" si="144"/>
        <v>5.0300000000000004E-2</v>
      </c>
      <c r="Q46" s="2887">
        <f t="shared" si="144"/>
        <v>4.2099999999999999E-2</v>
      </c>
      <c r="R46" s="2902"/>
      <c r="S46" s="2901"/>
      <c r="T46" s="2887"/>
      <c r="U46" s="2887"/>
      <c r="V46" s="2887"/>
    </row>
    <row r="47" spans="1:26">
      <c r="A47" s="2898" t="s">
        <v>2573</v>
      </c>
      <c r="B47" s="2899">
        <f t="shared" si="156"/>
        <v>242.95398227588385</v>
      </c>
      <c r="C47" s="2899">
        <f t="shared" si="156"/>
        <v>199.59137053614126</v>
      </c>
      <c r="D47" s="2899">
        <f t="shared" si="142"/>
        <v>199.59137053614126</v>
      </c>
      <c r="E47" s="2899">
        <f t="shared" si="157"/>
        <v>335.92189522342125</v>
      </c>
      <c r="F47" s="2899">
        <f t="shared" si="157"/>
        <v>183.10139991109489</v>
      </c>
      <c r="G47" s="3585">
        <v>2010</v>
      </c>
      <c r="H47" s="2913">
        <v>2</v>
      </c>
      <c r="I47" s="2913">
        <v>4.6900000000000004</v>
      </c>
      <c r="J47" s="2913">
        <v>3.55</v>
      </c>
      <c r="K47" s="2913">
        <v>5.07</v>
      </c>
      <c r="L47" s="2914">
        <v>4.2300000000000004</v>
      </c>
      <c r="N47" s="2901">
        <f t="shared" si="144"/>
        <v>4.6900000000000004E-2</v>
      </c>
      <c r="O47" s="2887">
        <f t="shared" si="144"/>
        <v>3.5499999999999997E-2</v>
      </c>
      <c r="P47" s="2887">
        <f t="shared" si="144"/>
        <v>5.0700000000000002E-2</v>
      </c>
      <c r="Q47" s="2887">
        <f t="shared" si="144"/>
        <v>4.2300000000000004E-2</v>
      </c>
      <c r="R47" s="2902"/>
      <c r="S47" s="2901"/>
      <c r="T47" s="2887"/>
      <c r="U47" s="2887"/>
      <c r="V47" s="2887"/>
    </row>
    <row r="48" spans="1:26" ht="13.5" thickBot="1">
      <c r="A48" s="2898" t="s">
        <v>2574</v>
      </c>
      <c r="B48" s="2899">
        <f t="shared" si="156"/>
        <v>232.06990378821649</v>
      </c>
      <c r="C48" s="2899">
        <f t="shared" si="156"/>
        <v>192.74878854286936</v>
      </c>
      <c r="D48" s="2899">
        <f t="shared" si="142"/>
        <v>192.74878854286936</v>
      </c>
      <c r="E48" s="2899">
        <f t="shared" si="157"/>
        <v>319.71247284992984</v>
      </c>
      <c r="F48" s="2899">
        <f t="shared" si="157"/>
        <v>175.67053622862409</v>
      </c>
      <c r="G48" s="3588">
        <v>2010</v>
      </c>
      <c r="H48" s="2900">
        <v>1</v>
      </c>
      <c r="I48" s="2900">
        <v>5.4</v>
      </c>
      <c r="J48" s="2900">
        <v>3.2</v>
      </c>
      <c r="K48" s="2900">
        <v>6.16</v>
      </c>
      <c r="L48" s="2906">
        <v>4.51</v>
      </c>
      <c r="N48" s="2901">
        <f t="shared" si="144"/>
        <v>5.4000000000000006E-2</v>
      </c>
      <c r="O48" s="2887">
        <f t="shared" si="144"/>
        <v>3.2000000000000001E-2</v>
      </c>
      <c r="P48" s="2887">
        <f t="shared" si="144"/>
        <v>6.1600000000000002E-2</v>
      </c>
      <c r="Q48" s="2887">
        <f t="shared" si="144"/>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2575</v>
      </c>
      <c r="B49" s="2920">
        <v>220</v>
      </c>
      <c r="C49" s="2920">
        <v>187</v>
      </c>
      <c r="D49" s="2920">
        <f t="shared" si="142"/>
        <v>187</v>
      </c>
      <c r="E49" s="2920">
        <v>301</v>
      </c>
      <c r="F49" s="2921">
        <v>168</v>
      </c>
      <c r="G49" s="3587">
        <v>2009</v>
      </c>
      <c r="H49" s="2922">
        <v>4</v>
      </c>
      <c r="I49" s="2922">
        <v>2.2999999999999998</v>
      </c>
      <c r="J49" s="2922">
        <v>1.04</v>
      </c>
      <c r="K49" s="2922">
        <v>2.84</v>
      </c>
      <c r="L49" s="2923">
        <v>0.67</v>
      </c>
      <c r="N49" s="2917">
        <f t="shared" si="144"/>
        <v>2.3E-2</v>
      </c>
      <c r="O49" s="2918">
        <f t="shared" si="144"/>
        <v>1.04E-2</v>
      </c>
      <c r="P49" s="2918">
        <f t="shared" si="144"/>
        <v>2.8399999999999998E-2</v>
      </c>
      <c r="Q49" s="2918">
        <f t="shared" si="144"/>
        <v>6.7000000000000002E-3</v>
      </c>
      <c r="R49" s="2902"/>
      <c r="S49" s="2911"/>
      <c r="T49" s="2912"/>
      <c r="U49" s="2912"/>
      <c r="V49" s="2912"/>
      <c r="X49" s="2912"/>
      <c r="Y49" s="2912"/>
      <c r="Z49" s="2912"/>
    </row>
    <row r="50" spans="1:26">
      <c r="A50" s="2898" t="s">
        <v>2576</v>
      </c>
      <c r="B50" s="2899">
        <f t="shared" ref="B50:C52" si="158">B49/(1+N49)</f>
        <v>215.05376344086022</v>
      </c>
      <c r="C50" s="2899">
        <f t="shared" si="158"/>
        <v>185.0752177355503</v>
      </c>
      <c r="D50" s="2899">
        <f t="shared" si="142"/>
        <v>185.0752177355503</v>
      </c>
      <c r="E50" s="2899">
        <f t="shared" ref="E50:F52" si="159">E49/(1+P49)</f>
        <v>292.68767016725008</v>
      </c>
      <c r="F50" s="2899">
        <f t="shared" si="159"/>
        <v>166.88189132810174</v>
      </c>
      <c r="G50" s="3585">
        <v>2009</v>
      </c>
      <c r="H50" s="2925">
        <v>3</v>
      </c>
      <c r="I50" s="2925">
        <v>2.1</v>
      </c>
      <c r="J50" s="2925">
        <v>1.86</v>
      </c>
      <c r="K50" s="2925">
        <v>2.29</v>
      </c>
      <c r="L50" s="2926">
        <v>0.85</v>
      </c>
      <c r="N50" s="2901">
        <f t="shared" si="144"/>
        <v>2.1000000000000001E-2</v>
      </c>
      <c r="O50" s="2919">
        <f t="shared" si="144"/>
        <v>1.8600000000000002E-2</v>
      </c>
      <c r="P50" s="2919">
        <f t="shared" si="144"/>
        <v>2.29E-2</v>
      </c>
      <c r="Q50" s="2919">
        <f t="shared" si="144"/>
        <v>8.5000000000000006E-3</v>
      </c>
      <c r="R50" s="2902"/>
      <c r="S50" s="2901"/>
      <c r="T50" s="2887"/>
      <c r="U50" s="2887"/>
      <c r="V50" s="2887"/>
    </row>
    <row r="51" spans="1:26">
      <c r="A51" s="2898" t="s">
        <v>2577</v>
      </c>
      <c r="B51" s="2899">
        <f t="shared" si="158"/>
        <v>210.630522469011</v>
      </c>
      <c r="C51" s="2899">
        <f t="shared" si="158"/>
        <v>181.69567812247232</v>
      </c>
      <c r="D51" s="2899">
        <f t="shared" si="142"/>
        <v>181.69567812247232</v>
      </c>
      <c r="E51" s="2899">
        <f t="shared" si="159"/>
        <v>286.13517466736738</v>
      </c>
      <c r="F51" s="2899">
        <f t="shared" si="159"/>
        <v>165.47535084591149</v>
      </c>
      <c r="G51" s="3585">
        <v>2009</v>
      </c>
      <c r="H51" s="2913">
        <v>2</v>
      </c>
      <c r="I51" s="2913">
        <v>0.86</v>
      </c>
      <c r="J51" s="2913">
        <v>-1.1299999999999999</v>
      </c>
      <c r="K51" s="2913">
        <v>1.79</v>
      </c>
      <c r="L51" s="2914">
        <v>-2.0699999999999998</v>
      </c>
      <c r="N51" s="2901">
        <f t="shared" si="144"/>
        <v>8.6E-3</v>
      </c>
      <c r="O51" s="2919">
        <f t="shared" si="144"/>
        <v>-1.1299999999999999E-2</v>
      </c>
      <c r="P51" s="2919">
        <f t="shared" si="144"/>
        <v>1.7899999999999999E-2</v>
      </c>
      <c r="Q51" s="2919">
        <f t="shared" si="144"/>
        <v>-2.07E-2</v>
      </c>
      <c r="R51" s="2902"/>
      <c r="S51" s="2901"/>
      <c r="T51" s="2887"/>
      <c r="U51" s="2887"/>
      <c r="V51" s="2887"/>
    </row>
    <row r="52" spans="1:26">
      <c r="A52" s="2898" t="s">
        <v>2578</v>
      </c>
      <c r="B52" s="2899">
        <f t="shared" si="158"/>
        <v>208.83454537875372</v>
      </c>
      <c r="C52" s="2899">
        <f t="shared" si="158"/>
        <v>183.77230517090351</v>
      </c>
      <c r="D52" s="2899">
        <f t="shared" si="142"/>
        <v>183.77230517090351</v>
      </c>
      <c r="E52" s="2899">
        <f t="shared" si="159"/>
        <v>281.10342338870947</v>
      </c>
      <c r="F52" s="2899">
        <f t="shared" si="159"/>
        <v>168.97309388942256</v>
      </c>
      <c r="G52" s="3588">
        <v>2009</v>
      </c>
      <c r="H52" s="2900">
        <v>1</v>
      </c>
      <c r="I52" s="2900">
        <v>-2.64</v>
      </c>
      <c r="J52" s="2900">
        <v>-2.5299999999999998</v>
      </c>
      <c r="K52" s="2900">
        <v>-3.02</v>
      </c>
      <c r="L52" s="2906">
        <v>1.52</v>
      </c>
      <c r="N52" s="2903">
        <f t="shared" si="144"/>
        <v>-2.64E-2</v>
      </c>
      <c r="O52" s="2904">
        <f t="shared" si="144"/>
        <v>-2.53E-2</v>
      </c>
      <c r="P52" s="2904">
        <f t="shared" si="144"/>
        <v>-3.0200000000000001E-2</v>
      </c>
      <c r="Q52" s="2904">
        <f t="shared" si="144"/>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2579</v>
      </c>
      <c r="B53" s="2948">
        <v>214</v>
      </c>
      <c r="C53" s="2948">
        <v>188</v>
      </c>
      <c r="D53" s="2948">
        <f t="shared" si="142"/>
        <v>188</v>
      </c>
      <c r="E53" s="2948">
        <v>289</v>
      </c>
      <c r="F53" s="2949">
        <v>166</v>
      </c>
      <c r="G53" s="3587">
        <v>2008</v>
      </c>
      <c r="H53" s="2922">
        <v>4</v>
      </c>
      <c r="I53" s="2922">
        <v>1.73</v>
      </c>
      <c r="J53" s="2922">
        <v>0.03</v>
      </c>
      <c r="K53" s="2922">
        <v>2.59</v>
      </c>
      <c r="L53" s="2923">
        <v>-1.66</v>
      </c>
      <c r="N53" s="2901">
        <f t="shared" si="144"/>
        <v>1.7299999999999999E-2</v>
      </c>
      <c r="O53" s="2887">
        <f t="shared" si="144"/>
        <v>2.9999999999999997E-4</v>
      </c>
      <c r="P53" s="2887">
        <f t="shared" si="144"/>
        <v>2.5899999999999999E-2</v>
      </c>
      <c r="Q53" s="2887">
        <f t="shared" si="144"/>
        <v>-1.66E-2</v>
      </c>
      <c r="R53" s="2902"/>
      <c r="S53" s="2911"/>
      <c r="T53" s="2912"/>
      <c r="U53" s="2912"/>
      <c r="V53" s="2912"/>
      <c r="X53" s="2912"/>
      <c r="Y53" s="2912"/>
      <c r="Z53" s="2912"/>
    </row>
    <row r="54" spans="1:26">
      <c r="A54" s="2898" t="s">
        <v>2580</v>
      </c>
      <c r="B54" s="2899">
        <f t="shared" ref="B54:C56" si="160">B53/(1+N53)</f>
        <v>210.36075887152265</v>
      </c>
      <c r="C54" s="2899">
        <f t="shared" si="160"/>
        <v>187.94361691492554</v>
      </c>
      <c r="D54" s="2899">
        <f t="shared" si="142"/>
        <v>187.94361691492554</v>
      </c>
      <c r="E54" s="2899">
        <f t="shared" ref="E54:F56" si="161">E53/(1+P53)</f>
        <v>281.70386977288234</v>
      </c>
      <c r="F54" s="2899">
        <f t="shared" si="161"/>
        <v>168.80211511083994</v>
      </c>
      <c r="G54" s="3585">
        <v>2008</v>
      </c>
      <c r="H54" s="2925">
        <v>3</v>
      </c>
      <c r="I54" s="2925">
        <v>1.96</v>
      </c>
      <c r="J54" s="2925">
        <v>2.36</v>
      </c>
      <c r="K54" s="2925">
        <v>1.82</v>
      </c>
      <c r="L54" s="2926">
        <v>2.2200000000000002</v>
      </c>
      <c r="N54" s="2901">
        <f t="shared" si="144"/>
        <v>1.9599999999999999E-2</v>
      </c>
      <c r="O54" s="2887">
        <f t="shared" si="144"/>
        <v>2.3599999999999999E-2</v>
      </c>
      <c r="P54" s="2887">
        <f t="shared" si="144"/>
        <v>1.8200000000000001E-2</v>
      </c>
      <c r="Q54" s="2887">
        <f t="shared" si="144"/>
        <v>2.2200000000000001E-2</v>
      </c>
      <c r="R54" s="2902"/>
      <c r="S54" s="2901"/>
      <c r="T54" s="2887"/>
      <c r="U54" s="2887"/>
      <c r="V54" s="2887"/>
    </row>
    <row r="55" spans="1:26">
      <c r="A55" s="2898" t="s">
        <v>2581</v>
      </c>
      <c r="B55" s="2899">
        <f t="shared" si="160"/>
        <v>206.31694671589116</v>
      </c>
      <c r="C55" s="2899">
        <f t="shared" si="160"/>
        <v>183.61041121036101</v>
      </c>
      <c r="D55" s="2899">
        <f t="shared" si="142"/>
        <v>183.61041121036101</v>
      </c>
      <c r="E55" s="2899">
        <f t="shared" si="161"/>
        <v>276.66850301795557</v>
      </c>
      <c r="F55" s="2899">
        <f t="shared" si="161"/>
        <v>165.1360938278614</v>
      </c>
      <c r="G55" s="3585">
        <v>2008</v>
      </c>
      <c r="H55" s="2913">
        <v>2</v>
      </c>
      <c r="I55" s="2913">
        <v>4.93</v>
      </c>
      <c r="J55" s="2913">
        <v>7.38</v>
      </c>
      <c r="K55" s="2913">
        <v>3.98</v>
      </c>
      <c r="L55" s="2914">
        <v>6.86</v>
      </c>
      <c r="N55" s="2901">
        <f t="shared" si="144"/>
        <v>4.9299999999999997E-2</v>
      </c>
      <c r="O55" s="2887">
        <f t="shared" si="144"/>
        <v>7.3800000000000004E-2</v>
      </c>
      <c r="P55" s="2887">
        <f t="shared" si="144"/>
        <v>3.9800000000000002E-2</v>
      </c>
      <c r="Q55" s="2887">
        <f t="shared" si="144"/>
        <v>6.8600000000000008E-2</v>
      </c>
      <c r="R55" s="2902"/>
      <c r="S55" s="2901"/>
      <c r="T55" s="2887"/>
      <c r="U55" s="2887"/>
      <c r="V55" s="2887"/>
    </row>
    <row r="56" spans="1:26" s="2954" customFormat="1" ht="13.5" thickBot="1">
      <c r="A56" s="2898" t="s">
        <v>2582</v>
      </c>
      <c r="B56" s="2951">
        <f t="shared" si="160"/>
        <v>196.62341248059772</v>
      </c>
      <c r="C56" s="2951">
        <f t="shared" si="160"/>
        <v>170.99125648199012</v>
      </c>
      <c r="D56" s="2951">
        <f t="shared" si="142"/>
        <v>170.99125648199012</v>
      </c>
      <c r="E56" s="2951">
        <f t="shared" si="161"/>
        <v>266.07857570490052</v>
      </c>
      <c r="F56" s="2951">
        <f t="shared" si="161"/>
        <v>154.53499328828505</v>
      </c>
      <c r="G56" s="3588">
        <v>2008</v>
      </c>
      <c r="H56" s="2952">
        <v>1</v>
      </c>
      <c r="I56" s="2952">
        <v>4.1399999999999997</v>
      </c>
      <c r="J56" s="2952">
        <v>3.45</v>
      </c>
      <c r="K56" s="2952">
        <v>4.95</v>
      </c>
      <c r="L56" s="2953">
        <v>4.82</v>
      </c>
      <c r="N56" s="2955">
        <f t="shared" si="144"/>
        <v>4.1399999999999999E-2</v>
      </c>
      <c r="O56" s="2956">
        <f t="shared" si="144"/>
        <v>3.4500000000000003E-2</v>
      </c>
      <c r="P56" s="2956">
        <f t="shared" si="144"/>
        <v>4.9500000000000002E-2</v>
      </c>
      <c r="Q56" s="2956">
        <f t="shared" si="144"/>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2583</v>
      </c>
      <c r="B57" s="2920">
        <v>188</v>
      </c>
      <c r="C57" s="2920">
        <v>165</v>
      </c>
      <c r="D57" s="2920">
        <f t="shared" si="142"/>
        <v>165</v>
      </c>
      <c r="E57" s="2920">
        <v>254</v>
      </c>
      <c r="F57" s="2921">
        <v>148</v>
      </c>
      <c r="G57" s="3587">
        <v>2007</v>
      </c>
      <c r="H57" s="2958">
        <v>4</v>
      </c>
      <c r="I57" s="2958">
        <v>5.51</v>
      </c>
      <c r="J57" s="2958">
        <v>4.8899999999999997</v>
      </c>
      <c r="K57" s="2958">
        <v>6.43</v>
      </c>
      <c r="L57" s="2959">
        <v>5.36</v>
      </c>
      <c r="N57" s="2960">
        <f t="shared" ref="N57:O60" si="162">B57/B58-1</f>
        <v>4.1339718365245526E-2</v>
      </c>
      <c r="O57" s="2961">
        <f t="shared" si="162"/>
        <v>4.0324492593776018E-2</v>
      </c>
      <c r="P57" s="2961">
        <f t="shared" ref="P57:Q60" si="163">E57/E58-1</f>
        <v>6.1625555347990968E-2</v>
      </c>
      <c r="Q57" s="2961">
        <f t="shared" si="163"/>
        <v>4.6757569250590603E-2</v>
      </c>
      <c r="R57" s="2902"/>
      <c r="S57" s="2911"/>
      <c r="T57" s="2912"/>
      <c r="U57" s="2912"/>
      <c r="V57" s="2912"/>
      <c r="X57" s="2912"/>
      <c r="Y57" s="2912"/>
      <c r="Z57" s="2912"/>
    </row>
    <row r="58" spans="1:26">
      <c r="A58" s="2898" t="s">
        <v>2584</v>
      </c>
      <c r="B58" s="2899">
        <f t="shared" ref="B58:C60" si="164">B59+(B$57-B$61)*I58/SUM(I$57:I$60)</f>
        <v>180.5366651097618</v>
      </c>
      <c r="C58" s="2899">
        <f t="shared" si="164"/>
        <v>158.60435967302453</v>
      </c>
      <c r="D58" s="2899">
        <f t="shared" si="142"/>
        <v>158.60435967302453</v>
      </c>
      <c r="E58" s="2899">
        <f t="shared" ref="E58:F60" si="165">E59+(E$57-E$61)*K58/SUM(K$57:K$60)</f>
        <v>239.25573260785075</v>
      </c>
      <c r="F58" s="2899">
        <f t="shared" si="165"/>
        <v>141.38899430740037</v>
      </c>
      <c r="G58" s="3585">
        <v>2007</v>
      </c>
      <c r="H58" s="2925">
        <v>3</v>
      </c>
      <c r="I58" s="2925">
        <v>8.65</v>
      </c>
      <c r="J58" s="2925">
        <v>8.06</v>
      </c>
      <c r="K58" s="2925">
        <v>9.94</v>
      </c>
      <c r="L58" s="2926">
        <v>5.8</v>
      </c>
      <c r="N58" s="2960">
        <f t="shared" si="162"/>
        <v>6.940217571740015E-2</v>
      </c>
      <c r="O58" s="2961">
        <f t="shared" si="162"/>
        <v>7.1197482471153428E-2</v>
      </c>
      <c r="P58" s="2961">
        <f t="shared" si="163"/>
        <v>0.10529679922579582</v>
      </c>
      <c r="Q58" s="2961">
        <f t="shared" si="163"/>
        <v>5.3292245059512133E-2</v>
      </c>
      <c r="R58" s="2902"/>
      <c r="S58" s="2901"/>
      <c r="T58" s="2887"/>
      <c r="U58" s="2887"/>
      <c r="V58" s="2887"/>
      <c r="X58" s="2962"/>
      <c r="Y58" s="2962"/>
      <c r="Z58" s="2962"/>
    </row>
    <row r="59" spans="1:26">
      <c r="A59" s="2898" t="s">
        <v>2585</v>
      </c>
      <c r="B59" s="2899">
        <f t="shared" si="164"/>
        <v>168.82017748715555</v>
      </c>
      <c r="C59" s="2899">
        <f t="shared" si="164"/>
        <v>148.06267029972753</v>
      </c>
      <c r="D59" s="2899">
        <f t="shared" si="142"/>
        <v>148.06267029972753</v>
      </c>
      <c r="E59" s="2899">
        <f t="shared" si="165"/>
        <v>216.46288379323747</v>
      </c>
      <c r="F59" s="2899">
        <f t="shared" si="165"/>
        <v>134.23529411764704</v>
      </c>
      <c r="G59" s="3585">
        <v>2007</v>
      </c>
      <c r="H59" s="2913">
        <v>2</v>
      </c>
      <c r="I59" s="2913">
        <v>3.67</v>
      </c>
      <c r="J59" s="2913">
        <v>2.3199999999999998</v>
      </c>
      <c r="K59" s="2913">
        <v>5.0199999999999996</v>
      </c>
      <c r="L59" s="2914">
        <v>6.71</v>
      </c>
      <c r="N59" s="2960">
        <f t="shared" si="162"/>
        <v>3.0339138143848032E-2</v>
      </c>
      <c r="O59" s="2961">
        <f t="shared" si="162"/>
        <v>2.0922341588790472E-2</v>
      </c>
      <c r="P59" s="2961">
        <f t="shared" si="163"/>
        <v>5.6164796592717003E-2</v>
      </c>
      <c r="Q59" s="2961">
        <f t="shared" si="163"/>
        <v>6.5704536723887319E-2</v>
      </c>
      <c r="R59" s="2902"/>
      <c r="S59" s="2901"/>
      <c r="T59" s="2887"/>
      <c r="U59" s="2887"/>
      <c r="V59" s="2887"/>
      <c r="X59" s="2962"/>
      <c r="Y59" s="2962"/>
      <c r="Z59" s="2962"/>
    </row>
    <row r="60" spans="1:26">
      <c r="A60" s="2898" t="s">
        <v>2586</v>
      </c>
      <c r="B60" s="2899">
        <f t="shared" si="164"/>
        <v>163.84913591779542</v>
      </c>
      <c r="C60" s="2899">
        <f t="shared" si="164"/>
        <v>145.0283378746594</v>
      </c>
      <c r="D60" s="2899">
        <f t="shared" si="142"/>
        <v>145.0283378746594</v>
      </c>
      <c r="E60" s="2899">
        <f t="shared" si="165"/>
        <v>204.95180722891567</v>
      </c>
      <c r="F60" s="2899">
        <f t="shared" si="165"/>
        <v>125.95920303605313</v>
      </c>
      <c r="G60" s="3588">
        <v>2007</v>
      </c>
      <c r="H60" s="2900">
        <v>1</v>
      </c>
      <c r="I60" s="2900">
        <v>3.58</v>
      </c>
      <c r="J60" s="2900">
        <v>3.08</v>
      </c>
      <c r="K60" s="2900">
        <v>4.34</v>
      </c>
      <c r="L60" s="2906">
        <v>3.21</v>
      </c>
      <c r="N60" s="2963">
        <f t="shared" si="162"/>
        <v>3.0497710174814063E-2</v>
      </c>
      <c r="O60" s="2964">
        <f t="shared" si="162"/>
        <v>2.8569772160704998E-2</v>
      </c>
      <c r="P60" s="2964">
        <f t="shared" si="163"/>
        <v>5.1034908866234296E-2</v>
      </c>
      <c r="Q60" s="2964">
        <f t="shared" si="163"/>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2587</v>
      </c>
      <c r="B61" s="2927">
        <v>159</v>
      </c>
      <c r="C61" s="2927">
        <v>141</v>
      </c>
      <c r="D61" s="2927">
        <f t="shared" si="142"/>
        <v>141</v>
      </c>
      <c r="E61" s="2927">
        <v>195</v>
      </c>
      <c r="F61" s="2928">
        <v>122</v>
      </c>
      <c r="G61" s="3587">
        <v>2006</v>
      </c>
      <c r="H61" s="2922">
        <v>4</v>
      </c>
      <c r="I61" s="2922">
        <v>3.79</v>
      </c>
      <c r="J61" s="2922">
        <v>2.21</v>
      </c>
      <c r="K61" s="2922">
        <v>5.65</v>
      </c>
      <c r="L61" s="2923">
        <v>5.41</v>
      </c>
      <c r="N61" s="2960">
        <f t="shared" ref="N61:O64" si="166">I61/SUM(I$61:I$64)*(B$61/B$65-1)</f>
        <v>7.245466462748526E-2</v>
      </c>
      <c r="O61" s="2961">
        <f t="shared" si="166"/>
        <v>2.3237230038062766E-2</v>
      </c>
      <c r="P61" s="2961">
        <f t="shared" ref="P61:Q64" si="167">K61/SUM(K$61:K$64)*(E$61/E$65-1)</f>
        <v>0.16146893866323722</v>
      </c>
      <c r="Q61" s="2961">
        <f t="shared" si="167"/>
        <v>5.0755230321793784E-2</v>
      </c>
      <c r="R61" s="2902"/>
      <c r="S61" s="2911"/>
      <c r="T61" s="2912"/>
      <c r="U61" s="2912"/>
      <c r="V61" s="2912"/>
      <c r="X61" s="2962"/>
      <c r="Y61" s="2962"/>
      <c r="Z61" s="2962"/>
    </row>
    <row r="62" spans="1:26">
      <c r="A62" s="2898" t="s">
        <v>2588</v>
      </c>
      <c r="B62" s="2899">
        <f t="shared" ref="B62:C64" si="168">B63+(B$61-B$65)*I62/SUM(I$61:I$64)</f>
        <v>149.00125628140702</v>
      </c>
      <c r="C62" s="2899">
        <f t="shared" si="168"/>
        <v>137.95592286501378</v>
      </c>
      <c r="D62" s="2899">
        <f t="shared" si="142"/>
        <v>137.95592286501378</v>
      </c>
      <c r="E62" s="2899">
        <f t="shared" ref="E62:F64" si="169">E63+(E$61-E$65)*K62/SUM(K$61:K$64)</f>
        <v>169.97231450719823</v>
      </c>
      <c r="F62" s="2899">
        <f t="shared" si="169"/>
        <v>116.21390374331551</v>
      </c>
      <c r="G62" s="3585">
        <v>2006</v>
      </c>
      <c r="H62" s="2925">
        <v>3</v>
      </c>
      <c r="I62" s="2925">
        <v>0.92</v>
      </c>
      <c r="J62" s="2925">
        <v>1.08</v>
      </c>
      <c r="K62" s="2925">
        <v>0.73</v>
      </c>
      <c r="L62" s="2926">
        <v>1.08</v>
      </c>
      <c r="N62" s="2960">
        <f t="shared" si="166"/>
        <v>1.7587939698492462E-2</v>
      </c>
      <c r="O62" s="2961">
        <f t="shared" si="166"/>
        <v>1.1355750425840628E-2</v>
      </c>
      <c r="P62" s="2961">
        <f t="shared" si="167"/>
        <v>2.0862358446754544E-2</v>
      </c>
      <c r="Q62" s="2961">
        <f t="shared" si="167"/>
        <v>1.0132282578103011E-2</v>
      </c>
      <c r="R62" s="2902"/>
      <c r="S62" s="2901"/>
      <c r="T62" s="2887"/>
      <c r="U62" s="2887"/>
      <c r="V62" s="2887"/>
      <c r="X62" s="2962"/>
      <c r="Y62" s="2962"/>
      <c r="Z62" s="2962"/>
    </row>
    <row r="63" spans="1:26">
      <c r="A63" s="2898" t="s">
        <v>2589</v>
      </c>
      <c r="B63" s="2899">
        <f t="shared" si="168"/>
        <v>146.57412060301507</v>
      </c>
      <c r="C63" s="2899">
        <f t="shared" si="168"/>
        <v>136.46831955922866</v>
      </c>
      <c r="D63" s="2899">
        <f t="shared" si="142"/>
        <v>136.46831955922866</v>
      </c>
      <c r="E63" s="2899">
        <f t="shared" si="169"/>
        <v>166.73864894795128</v>
      </c>
      <c r="F63" s="2899">
        <f t="shared" si="169"/>
        <v>115.05882352941177</v>
      </c>
      <c r="G63" s="3585">
        <v>2006</v>
      </c>
      <c r="H63" s="2913">
        <v>2</v>
      </c>
      <c r="I63" s="2913">
        <v>0.96</v>
      </c>
      <c r="J63" s="2913">
        <v>0.25</v>
      </c>
      <c r="K63" s="2913">
        <v>1.9</v>
      </c>
      <c r="L63" s="2914">
        <v>0.95</v>
      </c>
      <c r="N63" s="2960">
        <f t="shared" si="166"/>
        <v>1.8352632728861701E-2</v>
      </c>
      <c r="O63" s="2961">
        <f t="shared" si="166"/>
        <v>2.6286459319075526E-3</v>
      </c>
      <c r="P63" s="2961">
        <f t="shared" si="167"/>
        <v>5.4299289107991269E-2</v>
      </c>
      <c r="Q63" s="2961">
        <f t="shared" si="167"/>
        <v>8.9126559714794995E-3</v>
      </c>
      <c r="R63" s="2902"/>
      <c r="S63" s="2901"/>
      <c r="T63" s="2887"/>
      <c r="U63" s="2887"/>
      <c r="V63" s="2887"/>
      <c r="X63" s="2962"/>
      <c r="Y63" s="2962"/>
      <c r="Z63" s="2962"/>
    </row>
    <row r="64" spans="1:26">
      <c r="A64" s="2898" t="s">
        <v>2590</v>
      </c>
      <c r="B64" s="2899">
        <f t="shared" si="168"/>
        <v>144.04145728643215</v>
      </c>
      <c r="C64" s="2899">
        <f t="shared" si="168"/>
        <v>136.12396694214877</v>
      </c>
      <c r="D64" s="2899">
        <f t="shared" si="142"/>
        <v>136.12396694214877</v>
      </c>
      <c r="E64" s="2899">
        <f t="shared" si="169"/>
        <v>158.32225913621264</v>
      </c>
      <c r="F64" s="2899">
        <f t="shared" si="169"/>
        <v>114.04278074866311</v>
      </c>
      <c r="G64" s="3588">
        <v>2006</v>
      </c>
      <c r="H64" s="2900">
        <v>1</v>
      </c>
      <c r="I64" s="2900">
        <v>2.29</v>
      </c>
      <c r="J64" s="2900">
        <v>3.72</v>
      </c>
      <c r="K64" s="2900">
        <v>0.75</v>
      </c>
      <c r="L64" s="2906">
        <v>0.04</v>
      </c>
      <c r="N64" s="2963">
        <f t="shared" si="166"/>
        <v>4.3778675988638847E-2</v>
      </c>
      <c r="O64" s="2964">
        <f t="shared" si="166"/>
        <v>3.9114251466784385E-2</v>
      </c>
      <c r="P64" s="2964">
        <f t="shared" si="167"/>
        <v>2.1433929911049188E-2</v>
      </c>
      <c r="Q64" s="2964">
        <f t="shared" si="167"/>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2591</v>
      </c>
      <c r="B65" s="2927">
        <v>138</v>
      </c>
      <c r="C65" s="2927">
        <v>131</v>
      </c>
      <c r="D65" s="2927">
        <f t="shared" si="142"/>
        <v>131</v>
      </c>
      <c r="E65" s="2927">
        <v>155</v>
      </c>
      <c r="F65" s="2928">
        <v>114</v>
      </c>
      <c r="G65" s="3587">
        <v>2005</v>
      </c>
      <c r="H65" s="2922">
        <v>4</v>
      </c>
      <c r="I65" s="2922">
        <v>3.29</v>
      </c>
      <c r="J65" s="2922">
        <v>1.44</v>
      </c>
      <c r="K65" s="2922">
        <v>0.66</v>
      </c>
      <c r="L65" s="2923">
        <v>7.78</v>
      </c>
      <c r="N65" s="2960">
        <f t="shared" ref="N65:O68" si="170">I65/SUM(I$65:I$68)*(B$65/B$69-1)</f>
        <v>9.9404603216919935E-2</v>
      </c>
      <c r="O65" s="2961">
        <f t="shared" si="170"/>
        <v>4.7636550760861554E-2</v>
      </c>
      <c r="P65" s="2961">
        <f t="shared" ref="P65:Q68" si="171">K65/SUM(K$65:K$68)*(E$65/E$69-1)</f>
        <v>8.3756345177664976E-2</v>
      </c>
      <c r="Q65" s="2961">
        <f t="shared" si="171"/>
        <v>5.2148766661559584E-2</v>
      </c>
      <c r="R65" s="2902"/>
      <c r="S65" s="2911"/>
      <c r="T65" s="2912"/>
      <c r="U65" s="2912"/>
      <c r="V65" s="2912"/>
      <c r="X65" s="2962"/>
      <c r="Y65" s="2962"/>
      <c r="Z65" s="2962"/>
    </row>
    <row r="66" spans="1:26">
      <c r="A66" s="2898" t="s">
        <v>2592</v>
      </c>
      <c r="B66" s="2899">
        <f t="shared" ref="B66:C68" si="172">B67+(B$65-B$69)*I66/SUM(I$65:I$68)</f>
        <v>125.9720430107527</v>
      </c>
      <c r="C66" s="2899">
        <f t="shared" si="172"/>
        <v>125.1883408071749</v>
      </c>
      <c r="D66" s="2899">
        <f t="shared" si="142"/>
        <v>125.1883408071749</v>
      </c>
      <c r="E66" s="2899">
        <f t="shared" ref="E66:F68" si="173">E67+(E$65-E$69)*K66/SUM(K$65:K$68)</f>
        <v>144.61421319796952</v>
      </c>
      <c r="F66" s="2899">
        <f t="shared" si="173"/>
        <v>108.42008196721311</v>
      </c>
      <c r="G66" s="3585">
        <v>2005</v>
      </c>
      <c r="H66" s="2925">
        <v>3</v>
      </c>
      <c r="I66" s="2925">
        <v>0.46</v>
      </c>
      <c r="J66" s="2925">
        <v>0.32</v>
      </c>
      <c r="K66" s="2925">
        <v>0.42</v>
      </c>
      <c r="L66" s="2926">
        <v>0.64</v>
      </c>
      <c r="N66" s="2960">
        <f t="shared" si="170"/>
        <v>1.3898515951301874E-2</v>
      </c>
      <c r="O66" s="2961">
        <f t="shared" si="170"/>
        <v>1.0585900169080346E-2</v>
      </c>
      <c r="P66" s="2961">
        <f t="shared" si="171"/>
        <v>5.3299492385786795E-2</v>
      </c>
      <c r="Q66" s="2961">
        <f t="shared" si="171"/>
        <v>4.2898728359123568E-3</v>
      </c>
      <c r="R66" s="2902"/>
      <c r="S66" s="2901"/>
      <c r="T66" s="2887"/>
      <c r="U66" s="2887"/>
      <c r="V66" s="2887"/>
      <c r="X66" s="2962"/>
      <c r="Y66" s="2962"/>
      <c r="Z66" s="2962"/>
    </row>
    <row r="67" spans="1:26">
      <c r="A67" s="2898" t="s">
        <v>2593</v>
      </c>
      <c r="B67" s="2899">
        <f t="shared" si="172"/>
        <v>124.29032258064517</v>
      </c>
      <c r="C67" s="2899">
        <f t="shared" si="172"/>
        <v>123.8968609865471</v>
      </c>
      <c r="D67" s="2899">
        <f t="shared" si="142"/>
        <v>123.8968609865471</v>
      </c>
      <c r="E67" s="2899">
        <f t="shared" si="173"/>
        <v>138.00507614213197</v>
      </c>
      <c r="F67" s="2899">
        <f t="shared" si="173"/>
        <v>107.96106557377048</v>
      </c>
      <c r="G67" s="3585">
        <v>2005</v>
      </c>
      <c r="H67" s="2913">
        <v>2</v>
      </c>
      <c r="I67" s="2913">
        <v>0.47</v>
      </c>
      <c r="J67" s="2913">
        <v>0.1</v>
      </c>
      <c r="K67" s="2913">
        <v>0.52</v>
      </c>
      <c r="L67" s="2914">
        <v>0.79</v>
      </c>
      <c r="N67" s="2960">
        <f t="shared" si="170"/>
        <v>1.420065760241713E-2</v>
      </c>
      <c r="O67" s="2961">
        <f t="shared" si="170"/>
        <v>3.3080938028376083E-3</v>
      </c>
      <c r="P67" s="2961">
        <f t="shared" si="171"/>
        <v>6.598984771573603E-2</v>
      </c>
      <c r="Q67" s="2961">
        <f t="shared" si="171"/>
        <v>5.2953117818293153E-3</v>
      </c>
      <c r="R67" s="2902"/>
      <c r="S67" s="2901"/>
      <c r="T67" s="2887"/>
      <c r="U67" s="2887"/>
      <c r="V67" s="2887"/>
      <c r="X67" s="2962"/>
      <c r="Y67" s="2962"/>
      <c r="Z67" s="2962"/>
    </row>
    <row r="68" spans="1:26">
      <c r="A68" s="2898" t="s">
        <v>2594</v>
      </c>
      <c r="B68" s="2899">
        <f t="shared" si="172"/>
        <v>122.57204301075269</v>
      </c>
      <c r="C68" s="2899">
        <f t="shared" si="172"/>
        <v>123.4932735426009</v>
      </c>
      <c r="D68" s="2899">
        <f t="shared" si="142"/>
        <v>123.4932735426009</v>
      </c>
      <c r="E68" s="2899">
        <f t="shared" si="173"/>
        <v>129.82233502538071</v>
      </c>
      <c r="F68" s="2899">
        <f t="shared" si="173"/>
        <v>107.39446721311475</v>
      </c>
      <c r="G68" s="3588">
        <v>2005</v>
      </c>
      <c r="H68" s="2900">
        <v>1</v>
      </c>
      <c r="I68" s="2900">
        <v>0.43</v>
      </c>
      <c r="J68" s="2900">
        <v>0.37</v>
      </c>
      <c r="K68" s="2900">
        <v>0.37</v>
      </c>
      <c r="L68" s="2906">
        <v>0.55000000000000004</v>
      </c>
      <c r="N68" s="2963">
        <f t="shared" si="170"/>
        <v>1.2992090997956099E-2</v>
      </c>
      <c r="O68" s="2964">
        <f t="shared" si="170"/>
        <v>1.2239947070499151E-2</v>
      </c>
      <c r="P68" s="2964">
        <f t="shared" si="171"/>
        <v>4.6954314720812178E-2</v>
      </c>
      <c r="Q68" s="2964">
        <f t="shared" si="171"/>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2595</v>
      </c>
      <c r="B69" s="2948">
        <v>121</v>
      </c>
      <c r="C69" s="2948">
        <v>122</v>
      </c>
      <c r="D69" s="2948">
        <f t="shared" si="142"/>
        <v>122</v>
      </c>
      <c r="E69" s="2948">
        <v>124</v>
      </c>
      <c r="F69" s="2949">
        <v>107</v>
      </c>
      <c r="G69" s="3587">
        <v>2004</v>
      </c>
      <c r="H69" s="2922">
        <v>4</v>
      </c>
      <c r="I69" s="2922">
        <v>0.33</v>
      </c>
      <c r="J69" s="2922">
        <v>0.5</v>
      </c>
      <c r="K69" s="2922">
        <v>0.5</v>
      </c>
      <c r="L69" s="2923">
        <v>0</v>
      </c>
      <c r="N69" s="2960">
        <f t="shared" ref="N69:O72" si="174">I69/SUM(I$69:I$72)*(B$69/B$73-1)</f>
        <v>1.3391770148526898E-2</v>
      </c>
      <c r="O69" s="2961">
        <f t="shared" si="174"/>
        <v>1.063264221158958E-2</v>
      </c>
      <c r="P69" s="2961">
        <f t="shared" ref="P69:Q72" si="175">K69/SUM(K$69:K$72)*(E$69/E$73-1)</f>
        <v>2.2244466688911134E-2</v>
      </c>
      <c r="Q69" s="2961">
        <f t="shared" si="175"/>
        <v>0</v>
      </c>
      <c r="R69" s="2902"/>
      <c r="S69" s="2911"/>
      <c r="T69" s="2912"/>
      <c r="U69" s="2912"/>
      <c r="V69" s="2912"/>
      <c r="X69" s="2962"/>
      <c r="Y69" s="2962"/>
      <c r="Z69" s="2962"/>
    </row>
    <row r="70" spans="1:26">
      <c r="A70" s="2898" t="s">
        <v>2596</v>
      </c>
      <c r="B70" s="2899">
        <f t="shared" ref="B70:C72" si="176">B71+(B$69-B$73)*I70/SUM(I$69:I$72)</f>
        <v>119.51351351351352</v>
      </c>
      <c r="C70" s="2899">
        <f t="shared" si="176"/>
        <v>120.7878787878788</v>
      </c>
      <c r="D70" s="2899">
        <f t="shared" si="142"/>
        <v>120.7878787878788</v>
      </c>
      <c r="E70" s="2899">
        <f t="shared" ref="E70:F72" si="177">E71+(E$69-E$73)*K70/SUM(K$69:K$72)</f>
        <v>121.5975975975976</v>
      </c>
      <c r="F70" s="2899">
        <f t="shared" si="177"/>
        <v>107</v>
      </c>
      <c r="G70" s="3585">
        <v>2004</v>
      </c>
      <c r="H70" s="2925">
        <v>3</v>
      </c>
      <c r="I70" s="2925">
        <v>0.56000000000000005</v>
      </c>
      <c r="J70" s="2925">
        <v>0.8</v>
      </c>
      <c r="K70" s="2925">
        <v>0.83</v>
      </c>
      <c r="L70" s="2926">
        <v>0.06</v>
      </c>
      <c r="N70" s="2960">
        <f t="shared" si="174"/>
        <v>2.2725428130833527E-2</v>
      </c>
      <c r="O70" s="2961">
        <f t="shared" si="174"/>
        <v>1.7012227538543329E-2</v>
      </c>
      <c r="P70" s="2961">
        <f t="shared" si="175"/>
        <v>3.6925814703592477E-2</v>
      </c>
      <c r="Q70" s="2961">
        <f t="shared" si="175"/>
        <v>2.8846153846153744E-2</v>
      </c>
      <c r="R70" s="2902"/>
      <c r="S70" s="2901"/>
      <c r="T70" s="2887"/>
      <c r="U70" s="2887"/>
      <c r="V70" s="2887"/>
      <c r="X70" s="2962"/>
      <c r="Y70" s="2962"/>
      <c r="Z70" s="2962"/>
    </row>
    <row r="71" spans="1:26">
      <c r="A71" s="2898" t="s">
        <v>2597</v>
      </c>
      <c r="B71" s="2899">
        <f t="shared" si="176"/>
        <v>116.99099099099099</v>
      </c>
      <c r="C71" s="2899">
        <f t="shared" si="176"/>
        <v>118.84848484848486</v>
      </c>
      <c r="D71" s="2899">
        <f t="shared" si="142"/>
        <v>118.84848484848486</v>
      </c>
      <c r="E71" s="2899">
        <f t="shared" si="177"/>
        <v>117.60960960960961</v>
      </c>
      <c r="F71" s="2899">
        <f t="shared" si="177"/>
        <v>104</v>
      </c>
      <c r="G71" s="3585">
        <v>2004</v>
      </c>
      <c r="H71" s="2913">
        <v>2</v>
      </c>
      <c r="I71" s="2913">
        <v>1</v>
      </c>
      <c r="J71" s="2913">
        <v>1.5</v>
      </c>
      <c r="K71" s="2913">
        <v>1.5</v>
      </c>
      <c r="L71" s="2914">
        <v>0</v>
      </c>
      <c r="N71" s="2960">
        <f t="shared" si="174"/>
        <v>4.0581121662202721E-2</v>
      </c>
      <c r="O71" s="2961">
        <f t="shared" si="174"/>
        <v>3.1897926634768738E-2</v>
      </c>
      <c r="P71" s="2961">
        <f t="shared" si="175"/>
        <v>6.6733400066733395E-2</v>
      </c>
      <c r="Q71" s="2961">
        <f t="shared" si="175"/>
        <v>0</v>
      </c>
      <c r="R71" s="2902"/>
      <c r="S71" s="2901"/>
      <c r="T71" s="2887"/>
      <c r="U71" s="2887"/>
      <c r="V71" s="2887"/>
      <c r="X71" s="2962"/>
      <c r="Y71" s="2962"/>
      <c r="Z71" s="2962"/>
    </row>
    <row r="72" spans="1:26" s="2954" customFormat="1" ht="13.5" thickBot="1">
      <c r="A72" s="2898" t="s">
        <v>2598</v>
      </c>
      <c r="B72" s="2951">
        <f t="shared" si="176"/>
        <v>112.48648648648648</v>
      </c>
      <c r="C72" s="2951">
        <f t="shared" si="176"/>
        <v>115.21212121212122</v>
      </c>
      <c r="D72" s="2951">
        <f t="shared" si="142"/>
        <v>115.21212121212122</v>
      </c>
      <c r="E72" s="2951">
        <f t="shared" si="177"/>
        <v>110.4024024024024</v>
      </c>
      <c r="F72" s="2951">
        <f t="shared" si="177"/>
        <v>104</v>
      </c>
      <c r="G72" s="3588">
        <v>2004</v>
      </c>
      <c r="H72" s="2952">
        <v>1</v>
      </c>
      <c r="I72" s="2952">
        <v>0.33</v>
      </c>
      <c r="J72" s="2952">
        <v>0.5</v>
      </c>
      <c r="K72" s="2952">
        <v>0.5</v>
      </c>
      <c r="L72" s="2953">
        <v>0</v>
      </c>
      <c r="N72" s="2965">
        <f t="shared" si="174"/>
        <v>1.3391770148526898E-2</v>
      </c>
      <c r="O72" s="2966">
        <f t="shared" si="174"/>
        <v>1.063264221158958E-2</v>
      </c>
      <c r="P72" s="2966">
        <f t="shared" si="175"/>
        <v>2.2244466688911134E-2</v>
      </c>
      <c r="Q72" s="2966">
        <f t="shared" si="175"/>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2599</v>
      </c>
      <c r="B73" s="2968">
        <v>111</v>
      </c>
      <c r="C73" s="2968">
        <v>114</v>
      </c>
      <c r="D73" s="2968">
        <f t="shared" si="142"/>
        <v>114</v>
      </c>
      <c r="E73" s="2968">
        <v>108</v>
      </c>
      <c r="F73" s="2969">
        <v>104</v>
      </c>
      <c r="G73" s="3587">
        <v>2003</v>
      </c>
      <c r="H73" s="2958">
        <v>4</v>
      </c>
      <c r="I73" s="2970"/>
      <c r="J73" s="2970"/>
      <c r="K73" s="2970"/>
      <c r="L73" s="2970"/>
      <c r="N73" s="2971"/>
      <c r="O73" s="2970"/>
      <c r="P73" s="2970"/>
      <c r="Q73" s="2970"/>
      <c r="S73" s="2971"/>
      <c r="T73" s="2970"/>
      <c r="U73" s="2970"/>
      <c r="V73" s="2970"/>
      <c r="X73" s="2962"/>
      <c r="Y73" s="2962"/>
      <c r="Z73" s="2962"/>
    </row>
    <row r="74" spans="1:26">
      <c r="A74" s="2898" t="s">
        <v>2600</v>
      </c>
      <c r="B74" s="2972">
        <f t="shared" ref="B74:C76" si="178">B75+(B$73-B$77)/4</f>
        <v>109.75</v>
      </c>
      <c r="C74" s="2972">
        <f t="shared" si="178"/>
        <v>112.25</v>
      </c>
      <c r="D74" s="2972">
        <f t="shared" si="142"/>
        <v>112.25</v>
      </c>
      <c r="E74" s="2972">
        <f t="shared" ref="E74:F76" si="179">E75+(E$73-E$77)/4</f>
        <v>107.25</v>
      </c>
      <c r="F74" s="2972">
        <f t="shared" si="179"/>
        <v>103.5</v>
      </c>
      <c r="G74" s="3585">
        <v>2003</v>
      </c>
      <c r="H74" s="2925">
        <v>3</v>
      </c>
      <c r="I74" s="2970"/>
      <c r="J74" s="2970"/>
      <c r="K74" s="2970"/>
      <c r="L74" s="2970"/>
      <c r="X74" s="2962"/>
      <c r="Y74" s="2962"/>
      <c r="Z74" s="2962"/>
    </row>
    <row r="75" spans="1:26">
      <c r="A75" s="2898" t="s">
        <v>2601</v>
      </c>
      <c r="B75" s="2972">
        <f t="shared" si="178"/>
        <v>108.5</v>
      </c>
      <c r="C75" s="2972">
        <f t="shared" si="178"/>
        <v>110.5</v>
      </c>
      <c r="D75" s="2972">
        <f t="shared" si="142"/>
        <v>110.5</v>
      </c>
      <c r="E75" s="2972">
        <f t="shared" si="179"/>
        <v>106.5</v>
      </c>
      <c r="F75" s="2972">
        <f t="shared" si="179"/>
        <v>103</v>
      </c>
      <c r="G75" s="3585">
        <v>2003</v>
      </c>
      <c r="H75" s="2913">
        <v>2</v>
      </c>
      <c r="I75" s="2970"/>
      <c r="J75" s="2970"/>
      <c r="K75" s="2970"/>
      <c r="L75" s="2970"/>
      <c r="X75" s="2962"/>
      <c r="Y75" s="2962"/>
      <c r="Z75" s="2962"/>
    </row>
    <row r="76" spans="1:26" ht="13.5" thickBot="1">
      <c r="A76" s="2898" t="s">
        <v>2602</v>
      </c>
      <c r="B76" s="2972">
        <f t="shared" si="178"/>
        <v>107.25</v>
      </c>
      <c r="C76" s="2972">
        <f t="shared" si="178"/>
        <v>108.75</v>
      </c>
      <c r="D76" s="2972">
        <f t="shared" si="142"/>
        <v>108.75</v>
      </c>
      <c r="E76" s="2972">
        <f t="shared" si="179"/>
        <v>105.75</v>
      </c>
      <c r="F76" s="2972">
        <f t="shared" si="179"/>
        <v>102.5</v>
      </c>
      <c r="G76" s="3588">
        <v>2003</v>
      </c>
      <c r="H76" s="2973">
        <v>1</v>
      </c>
      <c r="I76" s="2970"/>
      <c r="J76" s="2970"/>
      <c r="K76" s="2970"/>
      <c r="L76" s="2970"/>
      <c r="S76" s="2901"/>
      <c r="T76" s="2887"/>
      <c r="U76" s="2887"/>
      <c r="X76" s="2962"/>
      <c r="Y76" s="2962"/>
      <c r="Z76" s="2962"/>
    </row>
    <row r="77" spans="1:26" ht="13.5" thickBot="1">
      <c r="A77" s="2898" t="s">
        <v>2603</v>
      </c>
      <c r="B77" s="2974">
        <v>106</v>
      </c>
      <c r="C77" s="2974">
        <v>107</v>
      </c>
      <c r="D77" s="2974">
        <f t="shared" si="142"/>
        <v>107</v>
      </c>
      <c r="E77" s="2974">
        <v>105</v>
      </c>
      <c r="F77" s="2975">
        <v>102</v>
      </c>
      <c r="G77" s="3587">
        <v>2002</v>
      </c>
      <c r="H77" s="2922">
        <v>4</v>
      </c>
      <c r="I77" s="2970"/>
      <c r="J77" s="2970"/>
      <c r="K77" s="2970"/>
      <c r="L77" s="2970"/>
      <c r="N77" s="2971"/>
      <c r="O77" s="2970"/>
      <c r="P77" s="2970"/>
      <c r="Q77" s="2970"/>
      <c r="S77" s="2971"/>
      <c r="T77" s="2970"/>
      <c r="U77" s="2970"/>
      <c r="V77" s="2970"/>
      <c r="X77" s="2962"/>
      <c r="Y77" s="2962"/>
      <c r="Z77" s="2962"/>
    </row>
    <row r="78" spans="1:26">
      <c r="A78" s="2898" t="s">
        <v>2604</v>
      </c>
      <c r="B78" s="2972">
        <f t="shared" ref="B78:C80" si="180">B79+(B$77-B$81)/4</f>
        <v>105</v>
      </c>
      <c r="C78" s="2972">
        <f t="shared" si="180"/>
        <v>106</v>
      </c>
      <c r="D78" s="2972">
        <f t="shared" si="142"/>
        <v>106</v>
      </c>
      <c r="E78" s="2972">
        <f t="shared" ref="E78:F80" si="181">E79+(E$77-E$81)/4</f>
        <v>104.5</v>
      </c>
      <c r="F78" s="2972">
        <f t="shared" si="181"/>
        <v>101.5</v>
      </c>
      <c r="G78" s="3585">
        <v>2002</v>
      </c>
      <c r="H78" s="2925">
        <v>3</v>
      </c>
      <c r="I78" s="2970"/>
      <c r="J78" s="2970"/>
      <c r="K78" s="2970"/>
      <c r="L78" s="2970"/>
      <c r="X78" s="2962"/>
      <c r="Y78" s="2962"/>
      <c r="Z78" s="2962"/>
    </row>
    <row r="79" spans="1:26">
      <c r="A79" s="2898" t="s">
        <v>2605</v>
      </c>
      <c r="B79" s="2972">
        <f t="shared" si="180"/>
        <v>104</v>
      </c>
      <c r="C79" s="2972">
        <f t="shared" si="180"/>
        <v>105</v>
      </c>
      <c r="D79" s="2972">
        <f t="shared" si="142"/>
        <v>105</v>
      </c>
      <c r="E79" s="2972">
        <f t="shared" si="181"/>
        <v>104</v>
      </c>
      <c r="F79" s="2972">
        <f t="shared" si="181"/>
        <v>101</v>
      </c>
      <c r="G79" s="3585">
        <v>2002</v>
      </c>
      <c r="H79" s="2913">
        <v>2</v>
      </c>
      <c r="I79" s="2970"/>
      <c r="J79" s="2970"/>
      <c r="K79" s="2970"/>
      <c r="L79" s="2970"/>
      <c r="X79" s="2962"/>
      <c r="Y79" s="2962"/>
      <c r="Z79" s="2962"/>
    </row>
    <row r="80" spans="1:26" s="2935" customFormat="1" ht="13.5" thickBot="1">
      <c r="A80" s="2931" t="s">
        <v>2606</v>
      </c>
      <c r="B80" s="2938">
        <f t="shared" si="180"/>
        <v>103</v>
      </c>
      <c r="C80" s="2938">
        <f t="shared" si="180"/>
        <v>104</v>
      </c>
      <c r="D80" s="2938">
        <f t="shared" si="142"/>
        <v>104</v>
      </c>
      <c r="E80" s="2938">
        <f t="shared" si="181"/>
        <v>103.5</v>
      </c>
      <c r="F80" s="2938">
        <f t="shared" si="181"/>
        <v>100.5</v>
      </c>
      <c r="G80" s="3588">
        <v>2002</v>
      </c>
      <c r="H80" s="2976">
        <v>1</v>
      </c>
      <c r="I80" s="2977"/>
      <c r="J80" s="2977"/>
      <c r="K80" s="2977"/>
      <c r="L80" s="2977"/>
      <c r="N80" s="2978"/>
      <c r="S80" s="2978"/>
      <c r="X80" s="2979"/>
      <c r="Y80" s="2979"/>
      <c r="Z80" s="2979"/>
    </row>
    <row r="81" spans="1:26" ht="13.5" thickBot="1">
      <c r="B81" s="2980">
        <v>102</v>
      </c>
      <c r="C81" s="2981">
        <v>103</v>
      </c>
      <c r="D81" s="2981">
        <f t="shared" si="142"/>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2607</v>
      </c>
      <c r="G83" s="2985"/>
      <c r="N83" s="2985"/>
      <c r="S83" s="2985"/>
    </row>
    <row r="84" spans="1:26" s="2984" customFormat="1">
      <c r="A84" s="2984" t="s">
        <v>2608</v>
      </c>
      <c r="G84" s="2985"/>
      <c r="N84" s="2985"/>
      <c r="S84" s="2985"/>
    </row>
    <row r="85" spans="1:26" s="2984" customFormat="1">
      <c r="A85" s="2984" t="s">
        <v>2609</v>
      </c>
      <c r="G85" s="2985"/>
      <c r="I85" s="2986"/>
      <c r="J85" s="2986"/>
      <c r="K85" s="2986"/>
      <c r="L85" s="2986"/>
      <c r="N85" s="2987"/>
      <c r="O85" s="2986"/>
      <c r="P85" s="2986"/>
      <c r="Q85" s="2986"/>
      <c r="S85" s="2987"/>
      <c r="T85" s="2986"/>
      <c r="U85" s="2986"/>
      <c r="V85" s="2986"/>
    </row>
    <row r="86" spans="1:26" s="2984" customFormat="1">
      <c r="A86" s="2984" t="s">
        <v>2610</v>
      </c>
      <c r="G86" s="2985"/>
      <c r="N86" s="2985"/>
      <c r="S86" s="2985"/>
    </row>
    <row r="93" spans="1:26" ht="13.5" thickBot="1"/>
    <row r="94" spans="1:26">
      <c r="G94" s="2886"/>
      <c r="S94" s="2988" t="s">
        <v>2611</v>
      </c>
      <c r="T94" s="2989" t="s">
        <v>2612</v>
      </c>
      <c r="U94" s="2989" t="s">
        <v>2613</v>
      </c>
      <c r="V94" s="2989" t="s">
        <v>2614</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2899</v>
      </c>
      <c r="B1" s="3243"/>
      <c r="C1" s="3243"/>
      <c r="D1" s="3243"/>
      <c r="E1" s="3243"/>
      <c r="F1" s="3243"/>
      <c r="G1" s="3244"/>
      <c r="H1" s="3244"/>
      <c r="I1" s="3244"/>
      <c r="J1" s="3244"/>
      <c r="K1" s="3244"/>
      <c r="L1" s="3244"/>
      <c r="M1" s="3244"/>
      <c r="N1" s="3244"/>
    </row>
    <row r="2" spans="1:14" ht="14.25">
      <c r="A2" s="3249" t="s">
        <v>2894</v>
      </c>
      <c r="B2" s="3254">
        <f ca="1">SUMIF(B7:B14,"&lt;&gt;#ref!",B7:B14)</f>
        <v>0</v>
      </c>
      <c r="C2" s="3249" t="s">
        <v>2895</v>
      </c>
      <c r="D2" s="3246"/>
      <c r="E2" s="3246"/>
      <c r="F2" s="3246"/>
      <c r="G2" s="3244"/>
      <c r="H2" s="3244"/>
      <c r="I2" s="3244"/>
      <c r="J2" s="3244"/>
      <c r="K2" s="3244"/>
      <c r="L2" s="3244"/>
      <c r="M2" s="3244"/>
      <c r="N2" s="3244"/>
    </row>
    <row r="3" spans="1:14" ht="14.25">
      <c r="A3" s="3249" t="s">
        <v>2924</v>
      </c>
      <c r="B3" s="3254" t="e">
        <f ca="1">ROUND(B2*10000/E3,0)</f>
        <v>#DIV/0!</v>
      </c>
      <c r="C3" s="3249" t="s">
        <v>2064</v>
      </c>
      <c r="D3" s="3249" t="s">
        <v>2896</v>
      </c>
      <c r="E3" s="3247">
        <f ca="1">SUMIF(E7:E14,"&lt;&gt;#ref!",E7:E14)</f>
        <v>0</v>
      </c>
      <c r="F3" s="3246"/>
      <c r="G3" s="3244"/>
      <c r="H3" s="3244"/>
      <c r="I3" s="3244"/>
      <c r="J3" s="3244"/>
      <c r="K3" s="3244"/>
      <c r="L3" s="3244"/>
      <c r="M3" s="3244"/>
      <c r="N3" s="3244"/>
    </row>
    <row r="4" spans="1:14" ht="14.25">
      <c r="A4" s="3249" t="s">
        <v>2902</v>
      </c>
      <c r="B4" s="3254" t="e">
        <f ca="1">ROUND(B2*10000/E4,0)</f>
        <v>#DIV/0!</v>
      </c>
      <c r="C4" s="3249" t="s">
        <v>2064</v>
      </c>
      <c r="D4" s="3249" t="s">
        <v>2903</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2900</v>
      </c>
      <c r="B6" s="3249" t="s">
        <v>2897</v>
      </c>
      <c r="C6" s="2790"/>
      <c r="D6" s="3246"/>
      <c r="E6" s="3249" t="s">
        <v>2898</v>
      </c>
      <c r="F6" s="3249" t="s">
        <v>2901</v>
      </c>
      <c r="G6" s="3244"/>
      <c r="H6" s="3244"/>
      <c r="I6" s="3244"/>
      <c r="J6" s="3244"/>
      <c r="K6" s="3244"/>
      <c r="L6" s="3244"/>
      <c r="M6" s="3244"/>
      <c r="N6" s="3244"/>
    </row>
    <row r="7" spans="1:14" ht="14.25">
      <c r="A7" s="3252"/>
      <c r="B7" s="3254" t="e">
        <f ca="1">SUMIF(INDIRECT("'"&amp;A7&amp;"'"&amp;"!A:A"),"总价",INDIRECT("'"&amp;A7&amp;"'"&amp;"!B:B"))</f>
        <v>#REF!</v>
      </c>
      <c r="C7" s="3249" t="s">
        <v>2895</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2895</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2895</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2895</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2895</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2895</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2895</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2895</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2354</v>
      </c>
      <c r="F1" s="2243">
        <f ca="1">J54</f>
        <v>-2</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2435</v>
      </c>
      <c r="C7" s="53">
        <f ca="1">C8+C12+C14</f>
        <v>0</v>
      </c>
      <c r="D7" s="2349" t="s">
        <v>2438</v>
      </c>
      <c r="E7" s="2343"/>
      <c r="F7" s="2344"/>
      <c r="G7" s="1527"/>
      <c r="H7" s="771">
        <v>1</v>
      </c>
      <c r="I7" s="772" t="s">
        <v>2435</v>
      </c>
      <c r="J7" s="53">
        <f ca="1">J8+J12+J14</f>
        <v>0</v>
      </c>
      <c r="K7" s="2349" t="s">
        <v>2438</v>
      </c>
      <c r="L7" s="2343"/>
      <c r="M7" s="2344"/>
    </row>
    <row r="8" spans="1:25" ht="18" customHeight="1">
      <c r="A8" s="1745" t="s">
        <v>1815</v>
      </c>
      <c r="B8" s="3596" t="s">
        <v>2440</v>
      </c>
      <c r="C8" s="1740">
        <f ca="1">ROUND(F8*F10*F9*(1-F11)/10000,0)</f>
        <v>0</v>
      </c>
      <c r="D8" s="1737" t="s">
        <v>2511</v>
      </c>
      <c r="E8" s="61" t="s">
        <v>631</v>
      </c>
      <c r="F8" s="775">
        <f ca="1">INDIRECT("'数据-取费表'!u"&amp;$G$1)</f>
        <v>0</v>
      </c>
      <c r="G8" s="1527"/>
      <c r="H8" s="2357" t="s">
        <v>1815</v>
      </c>
      <c r="I8" s="3596" t="s">
        <v>2440</v>
      </c>
      <c r="J8" s="773">
        <f ca="1">ROUND(M8*M10*M9*(1-M11)/10000,0)</f>
        <v>0</v>
      </c>
      <c r="K8" s="339" t="s">
        <v>2511</v>
      </c>
      <c r="L8" s="774" t="s">
        <v>1729</v>
      </c>
      <c r="M8" s="775">
        <f ca="1">INDIRECT("'数据-取费表'!z"&amp;$G$1)</f>
        <v>0</v>
      </c>
    </row>
    <row r="9" spans="1:25" ht="18" customHeight="1">
      <c r="A9" s="2353"/>
      <c r="B9" s="3597"/>
      <c r="C9" s="1741"/>
      <c r="D9" s="1738"/>
      <c r="E9" s="61" t="s">
        <v>632</v>
      </c>
      <c r="F9" s="775">
        <f ca="1">IF(INDIRECT("'数据-取费表'!ah"&amp;$G$1)="",INDIRECT("'数据-取费表'!k"&amp;$G$1),INDIRECT("'数据-取费表'!ah"&amp;$G$1))</f>
        <v>0</v>
      </c>
      <c r="G9" s="1527"/>
      <c r="H9" s="2342"/>
      <c r="I9" s="3597"/>
      <c r="J9" s="778"/>
      <c r="K9" s="779"/>
      <c r="L9" s="774" t="s">
        <v>1730</v>
      </c>
      <c r="M9" s="775">
        <f ca="1">F9</f>
        <v>0</v>
      </c>
    </row>
    <row r="10" spans="1:25" ht="18" customHeight="1">
      <c r="A10" s="2346"/>
      <c r="B10" s="3598"/>
      <c r="C10" s="1741"/>
      <c r="D10" s="1738"/>
      <c r="E10" s="61" t="s">
        <v>633</v>
      </c>
      <c r="F10" s="775">
        <f ca="1">INDIRECT("'数据-取费表'!ai"&amp;$G$1)</f>
        <v>0</v>
      </c>
      <c r="G10" s="1527"/>
      <c r="H10" s="2342"/>
      <c r="I10" s="3598"/>
      <c r="J10" s="778"/>
      <c r="K10" s="779"/>
      <c r="L10" s="774" t="s">
        <v>1731</v>
      </c>
      <c r="M10" s="775">
        <f ca="1">INDIRECT("'数据-取费表'!ai"&amp;$G$1)</f>
        <v>0</v>
      </c>
    </row>
    <row r="11" spans="1:25" ht="18" customHeight="1">
      <c r="A11" s="776"/>
      <c r="B11" s="3599"/>
      <c r="C11" s="1741"/>
      <c r="D11" s="1738"/>
      <c r="E11" s="61" t="s">
        <v>634</v>
      </c>
      <c r="F11" s="784">
        <f ca="1">INDIRECT("'数据-取费表'!w"&amp;$G$1)</f>
        <v>0</v>
      </c>
      <c r="G11" s="1527"/>
      <c r="H11" s="2358"/>
      <c r="I11" s="3598"/>
      <c r="J11" s="778"/>
      <c r="K11" s="779"/>
      <c r="L11" s="785" t="s">
        <v>1732</v>
      </c>
      <c r="M11" s="786">
        <f ca="1">INDIRECT("'数据-取费表'!ab"&amp;$G$1)</f>
        <v>0</v>
      </c>
    </row>
    <row r="12" spans="1:25" ht="18" customHeight="1">
      <c r="A12" s="1745" t="s">
        <v>1816</v>
      </c>
      <c r="B12" s="2347" t="s">
        <v>2436</v>
      </c>
      <c r="C12" s="789">
        <f ca="1">ROUND(IF(F12="押一",C8/12*F13,IF(F12="押二",C8/12*2*F13,IF(F12="押三",C8/12*3*F13,C13*F13))),0)</f>
        <v>0</v>
      </c>
      <c r="D12" s="2354" t="s">
        <v>2921</v>
      </c>
      <c r="E12" s="2351" t="s">
        <v>2441</v>
      </c>
      <c r="F12" s="2465"/>
      <c r="G12" s="1527"/>
      <c r="H12" s="2414" t="s">
        <v>1816</v>
      </c>
      <c r="I12" s="2419" t="s">
        <v>2436</v>
      </c>
      <c r="J12" s="773">
        <f ca="1">ROUND(IF(M12="押一",J8/12*M13,IF(M12="押二",J8/12*2*M13,IF(M12="押三",J8/12*3*M13,J13*M13))),0)</f>
        <v>0</v>
      </c>
      <c r="K12" s="2354" t="s">
        <v>2921</v>
      </c>
      <c r="L12" s="2351" t="s">
        <v>2441</v>
      </c>
      <c r="M12" s="2465"/>
    </row>
    <row r="13" spans="1:25" ht="18" customHeight="1">
      <c r="A13" s="780"/>
      <c r="B13" s="2348" t="s">
        <v>2550</v>
      </c>
      <c r="C13" s="2352"/>
      <c r="D13" s="779"/>
      <c r="E13" s="2351" t="s">
        <v>2433</v>
      </c>
      <c r="F13" s="786">
        <f ca="1">'数据-取费表'!B39</f>
        <v>1.4999999999999999E-2</v>
      </c>
      <c r="G13" s="1527"/>
      <c r="H13" s="2415"/>
      <c r="I13" s="2348" t="s">
        <v>2550</v>
      </c>
      <c r="J13" s="2352"/>
      <c r="K13" s="2416"/>
      <c r="L13" s="2351" t="s">
        <v>2433</v>
      </c>
      <c r="M13" s="2345">
        <f ca="1">'数据-取费表'!B39</f>
        <v>1.4999999999999999E-2</v>
      </c>
    </row>
    <row r="14" spans="1:25" ht="18" customHeight="1" thickBot="1">
      <c r="A14" s="2390" t="s">
        <v>2444</v>
      </c>
      <c r="B14" s="2391" t="s">
        <v>2437</v>
      </c>
      <c r="C14" s="2392"/>
      <c r="D14" s="2393"/>
      <c r="E14" s="2394"/>
      <c r="F14" s="2395"/>
      <c r="G14" s="1527"/>
      <c r="H14" s="2404" t="s">
        <v>2444</v>
      </c>
      <c r="I14" s="2417" t="s">
        <v>2437</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2055</v>
      </c>
      <c r="I16" s="2111" t="s">
        <v>2800</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2056</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120</v>
      </c>
      <c r="G19" s="1528"/>
      <c r="H19" s="793" t="s">
        <v>2055</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7"/>
      <c r="H24" s="1746" t="s">
        <v>2056</v>
      </c>
      <c r="I24" s="774" t="s">
        <v>670</v>
      </c>
      <c r="J24" s="53">
        <f ca="1">ROUND(J16*M24,0)</f>
        <v>0</v>
      </c>
      <c r="K24" s="1891" t="s">
        <v>671</v>
      </c>
      <c r="L24" s="774" t="s">
        <v>643</v>
      </c>
      <c r="M24" s="806">
        <f ca="1">INDIRECT("'数据-取费表'!Ak"&amp;$G$1)</f>
        <v>0</v>
      </c>
    </row>
    <row r="25" spans="1:25" s="1947" customFormat="1" ht="18" customHeight="1">
      <c r="A25" s="793" t="s">
        <v>1866</v>
      </c>
      <c r="B25" s="774" t="s">
        <v>2416</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1E-3</v>
      </c>
      <c r="D26" s="2423"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2797</v>
      </c>
      <c r="J27" s="789">
        <f ca="1">J7-J18</f>
        <v>0</v>
      </c>
      <c r="K27" s="1893" t="s">
        <v>694</v>
      </c>
      <c r="L27" s="1895"/>
      <c r="M27" s="809"/>
    </row>
    <row r="28" spans="1:25" ht="18" customHeight="1">
      <c r="A28" s="793" t="s">
        <v>1866</v>
      </c>
      <c r="B28" s="774" t="s">
        <v>2417</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2798</v>
      </c>
      <c r="C31" s="2397">
        <f ca="1">ROUND((C21+C22+C25+C28)/(1-F23-C26-C29-C30),0)</f>
        <v>0</v>
      </c>
      <c r="D31" s="2398"/>
      <c r="E31" s="2399"/>
      <c r="F31" s="2400"/>
      <c r="G31" s="1528"/>
      <c r="H31" s="812" t="s">
        <v>1863</v>
      </c>
      <c r="I31" s="2725" t="s">
        <v>2799</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5" t="s">
        <v>2979</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595"/>
      <c r="J36" s="1962"/>
      <c r="K36" s="1963"/>
      <c r="L36" s="1962"/>
      <c r="M36" s="1962"/>
    </row>
    <row r="37" spans="1:18" ht="18" customHeight="1">
      <c r="A37" s="804"/>
      <c r="B37" s="783"/>
      <c r="C37" s="69"/>
      <c r="D37" s="805"/>
      <c r="E37" s="774" t="s">
        <v>668</v>
      </c>
      <c r="F37" s="775">
        <f ca="1">INDIRECT("'数据-取费表'!r"&amp;$G$1)</f>
        <v>0</v>
      </c>
      <c r="G37" s="1945"/>
      <c r="H37" s="1948"/>
      <c r="I37" s="3595"/>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2910</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2913</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2323</v>
      </c>
      <c r="J47" s="2234"/>
      <c r="K47" s="2235"/>
      <c r="L47" s="2811" t="str">
        <f ca="1">IF(M48="住宅",0,IF(L49&gt;J52,L61,J61))</f>
        <v>0</v>
      </c>
      <c r="O47" s="2249" t="s">
        <v>2390</v>
      </c>
      <c r="P47" s="1527"/>
      <c r="Q47" s="1535"/>
      <c r="R47" s="1527"/>
    </row>
    <row r="48" spans="1:18" s="1942" customFormat="1" ht="18" customHeight="1" thickBot="1">
      <c r="A48" s="1966"/>
      <c r="C48" s="1969"/>
      <c r="D48" s="1970"/>
      <c r="E48" s="1970"/>
      <c r="F48" s="1971"/>
      <c r="G48" s="1972"/>
      <c r="I48" s="2802" t="s">
        <v>2324</v>
      </c>
      <c r="J48" s="2236"/>
      <c r="K48" s="2808" t="s">
        <v>2329</v>
      </c>
      <c r="L48" s="2812">
        <f ca="1">INDIRECT("'数据-取费表'!d"&amp;$G$1)</f>
        <v>0</v>
      </c>
      <c r="M48" s="2794" t="str">
        <f>IF(ISNUMBER(FIND("住宅",C1)),"住宅","非住宅")</f>
        <v>非住宅</v>
      </c>
      <c r="O48" s="2250" t="s">
        <v>2355</v>
      </c>
      <c r="P48" s="2251" t="s">
        <v>2356</v>
      </c>
      <c r="Q48" s="2252" t="s">
        <v>2357</v>
      </c>
      <c r="R48" s="2251" t="s">
        <v>2358</v>
      </c>
    </row>
    <row r="49" spans="1:18" s="1942" customFormat="1" ht="18" customHeight="1" thickBot="1">
      <c r="A49" s="1966"/>
      <c r="D49" s="1973"/>
      <c r="E49" s="1974"/>
      <c r="F49" s="1971"/>
      <c r="G49" s="1972"/>
      <c r="H49" s="1975"/>
      <c r="I49" s="2799" t="s">
        <v>2325</v>
      </c>
      <c r="J49" s="2237"/>
      <c r="K49" s="2809" t="s">
        <v>2331</v>
      </c>
      <c r="L49" s="1822">
        <f ca="1">INDIRECT("'数据-取费表'!f"&amp;$G$1)</f>
        <v>0</v>
      </c>
      <c r="O49" s="2253" t="s">
        <v>2359</v>
      </c>
      <c r="P49" s="2254" t="s">
        <v>2385</v>
      </c>
      <c r="Q49" s="2255">
        <f ca="1">C41+J31</f>
        <v>0</v>
      </c>
      <c r="R49" s="2254" t="s">
        <v>2360</v>
      </c>
    </row>
    <row r="50" spans="1:18" s="1942" customFormat="1" ht="18" customHeight="1" thickBot="1">
      <c r="A50" s="1966"/>
      <c r="D50" s="1976"/>
      <c r="E50" s="1976"/>
      <c r="F50" s="1970"/>
      <c r="G50" s="1977"/>
      <c r="H50" s="1975"/>
      <c r="I50" s="2799" t="s">
        <v>2326</v>
      </c>
      <c r="J50" s="2238"/>
      <c r="K50" s="2810" t="s">
        <v>2332</v>
      </c>
      <c r="L50" s="2239"/>
      <c r="O50" s="2253" t="s">
        <v>2361</v>
      </c>
      <c r="P50" s="2254" t="s">
        <v>2386</v>
      </c>
      <c r="Q50" s="2255" t="str">
        <f ca="1">J61</f>
        <v>0</v>
      </c>
      <c r="R50" s="2254" t="s">
        <v>2362</v>
      </c>
    </row>
    <row r="51" spans="1:18" s="1942" customFormat="1" ht="18" customHeight="1" thickBot="1">
      <c r="A51" s="1978"/>
      <c r="D51" s="1976"/>
      <c r="E51" s="1976"/>
      <c r="F51" s="1967"/>
      <c r="H51" s="1975"/>
      <c r="I51" s="2799" t="s">
        <v>2327</v>
      </c>
      <c r="J51" s="2806">
        <f>SUMPRODUCT((I64:I66=J48)*(J63:L63=J49)*(J64:L66))</f>
        <v>0</v>
      </c>
      <c r="K51" s="2810" t="s">
        <v>2333</v>
      </c>
      <c r="L51" s="2239"/>
      <c r="O51" s="2256" t="s">
        <v>2363</v>
      </c>
      <c r="P51" s="2254" t="s">
        <v>2387</v>
      </c>
      <c r="Q51" s="2255">
        <f ca="1">C31</f>
        <v>0</v>
      </c>
      <c r="R51" s="2254" t="s">
        <v>2360</v>
      </c>
    </row>
    <row r="52" spans="1:18" s="1942" customFormat="1" ht="18" customHeight="1" thickBot="1">
      <c r="A52" s="1978"/>
      <c r="F52" s="1967"/>
      <c r="I52" s="2803" t="s">
        <v>2328</v>
      </c>
      <c r="J52" s="2807">
        <f>IF(J50="",J51,J50+J51-YEAR('数据-取费表'!B3))</f>
        <v>0</v>
      </c>
      <c r="K52" s="2799" t="s">
        <v>2334</v>
      </c>
      <c r="L52" s="2813">
        <f ca="1">C45</f>
        <v>0</v>
      </c>
      <c r="O52" s="2256" t="s">
        <v>2364</v>
      </c>
      <c r="P52" s="2254" t="s">
        <v>2365</v>
      </c>
      <c r="Q52" s="2257" t="e">
        <f ca="1">J59</f>
        <v>#VALUE!</v>
      </c>
      <c r="R52" s="2258"/>
    </row>
    <row r="53" spans="1:18" s="1942" customFormat="1" ht="18" customHeight="1" thickBot="1">
      <c r="A53" s="1978"/>
      <c r="F53" s="1967"/>
      <c r="I53" s="2804" t="s">
        <v>2401</v>
      </c>
      <c r="J53" s="2240"/>
      <c r="K53" s="2804" t="s">
        <v>2400</v>
      </c>
      <c r="L53" s="2240"/>
      <c r="O53" s="2256" t="s">
        <v>2366</v>
      </c>
      <c r="P53" s="2254" t="s">
        <v>2367</v>
      </c>
      <c r="Q53" s="2257">
        <f>J53</f>
        <v>0</v>
      </c>
      <c r="R53" s="2258"/>
    </row>
    <row r="54" spans="1:18" s="1942" customFormat="1" ht="29.25" thickBot="1">
      <c r="A54" s="1978"/>
      <c r="I54" s="2805" t="s">
        <v>2925</v>
      </c>
      <c r="J54" s="2858">
        <f ca="1">IF(M48="住宅",MAX(J52,L49-'数据-取费表'!B20),MIN(J52,L49-'数据-取费表'!B20))</f>
        <v>-2</v>
      </c>
      <c r="K54" s="3600"/>
      <c r="L54" s="3601"/>
      <c r="O54" s="2256" t="s">
        <v>2368</v>
      </c>
      <c r="P54" s="2254" t="s">
        <v>2369</v>
      </c>
      <c r="Q54" s="2255">
        <f ca="1">J54</f>
        <v>-2</v>
      </c>
      <c r="R54" s="2254" t="s">
        <v>2370</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2371</v>
      </c>
      <c r="P55" s="2254" t="s">
        <v>2388</v>
      </c>
      <c r="Q55" s="2255">
        <f ca="1">Q49+Q50</f>
        <v>0</v>
      </c>
      <c r="R55" s="2258" t="s">
        <v>2372</v>
      </c>
    </row>
    <row r="56" spans="1:18" s="1942" customFormat="1" ht="16.5" thickBot="1">
      <c r="A56" s="1978"/>
      <c r="B56" s="1979"/>
      <c r="C56" s="1979"/>
      <c r="I56" s="2816" t="s">
        <v>2335</v>
      </c>
      <c r="J56" s="2788" t="e">
        <f ca="1">ROUND(IF(J48="钢混",J58/J51,1-(1-2%)*(J51-J58)/J51),3)</f>
        <v>#VALUE!</v>
      </c>
      <c r="K56" s="2817" t="s">
        <v>2336</v>
      </c>
      <c r="L56" s="2241"/>
      <c r="O56" s="2259" t="s">
        <v>2391</v>
      </c>
      <c r="P56" s="1527"/>
      <c r="Q56" s="1535"/>
      <c r="R56" s="1527"/>
    </row>
    <row r="57" spans="1:18" s="1942" customFormat="1" ht="43.5" thickBot="1">
      <c r="A57" s="1978"/>
      <c r="B57" s="1979"/>
      <c r="C57" s="1979"/>
      <c r="I57" s="2818" t="s">
        <v>2337</v>
      </c>
      <c r="J57" s="2828" t="s">
        <v>1669</v>
      </c>
      <c r="K57" s="2799" t="s">
        <v>2342</v>
      </c>
      <c r="L57" s="1822">
        <f ca="1">IF(L49&lt;J52,"——",L49-J52)</f>
        <v>0</v>
      </c>
      <c r="O57" s="2250" t="s">
        <v>2355</v>
      </c>
      <c r="P57" s="2251" t="s">
        <v>2356</v>
      </c>
      <c r="Q57" s="2252" t="s">
        <v>2357</v>
      </c>
      <c r="R57" s="2251" t="s">
        <v>2358</v>
      </c>
    </row>
    <row r="58" spans="1:18" s="1942" customFormat="1" ht="29.25" thickBot="1">
      <c r="A58" s="1978"/>
      <c r="B58" s="1979"/>
      <c r="C58" s="1979"/>
      <c r="I58" s="2819" t="s">
        <v>2338</v>
      </c>
      <c r="J58" s="2820" t="str">
        <f ca="1">IF(OR(M48="住宅",J52&lt;L49,J57="是"),"——",J52-L49)</f>
        <v>——</v>
      </c>
      <c r="K58" s="2799" t="s">
        <v>2343</v>
      </c>
      <c r="L58" s="1822">
        <f ca="1">IF(L49&lt;J52,"——",IF(L56="比较法",L50,IF(L56="基准地价",L51,L52)))</f>
        <v>0</v>
      </c>
      <c r="O58" s="2253" t="s">
        <v>2359</v>
      </c>
      <c r="P58" s="2254" t="s">
        <v>2385</v>
      </c>
      <c r="Q58" s="2255">
        <f ca="1">C41+J31</f>
        <v>0</v>
      </c>
      <c r="R58" s="2254" t="s">
        <v>2360</v>
      </c>
    </row>
    <row r="59" spans="1:18" s="1942" customFormat="1" ht="29.25" thickBot="1">
      <c r="A59" s="1978"/>
      <c r="B59" s="1979"/>
      <c r="C59" s="1979"/>
      <c r="I59" s="2819" t="s">
        <v>2339</v>
      </c>
      <c r="J59" s="2789" t="e">
        <f ca="1">IF(J56&lt;0.4,0.4,J56)</f>
        <v>#VALUE!</v>
      </c>
      <c r="K59" s="2799" t="s">
        <v>2344</v>
      </c>
      <c r="L59" s="1822">
        <f ca="1">IF(ISERROR(POWER(1+L53,L48-L49)*(POWER(1+L53,L49)-1)/(POWER(1+L53,L48)-1)),0,POWER(1+L53,L48-L49)*(POWER(1+L53,L49)-1)/(POWER(1+L53,L48)-1))</f>
        <v>0</v>
      </c>
      <c r="O59" s="2253" t="s">
        <v>2361</v>
      </c>
      <c r="P59" s="2254" t="s">
        <v>2392</v>
      </c>
      <c r="Q59" s="2255" t="e">
        <f ca="1">L61</f>
        <v>#DIV/0!</v>
      </c>
      <c r="R59" s="2258" t="s">
        <v>2394</v>
      </c>
    </row>
    <row r="60" spans="1:18" s="1942" customFormat="1" ht="29.25" thickBot="1">
      <c r="A60" s="1978"/>
      <c r="B60" s="1979"/>
      <c r="C60" s="1979"/>
      <c r="I60" s="2819" t="s">
        <v>2340</v>
      </c>
      <c r="J60" s="2820" t="str">
        <f ca="1">IF(OR(M48="住宅",J52&lt;L49,J57="是"),"——",ROUND(C30*J59,0))</f>
        <v>——</v>
      </c>
      <c r="K60" s="2799" t="s">
        <v>2345</v>
      </c>
      <c r="L60" s="1822">
        <f ca="1">IF(ISERROR(POWER(1+L53,L48-J52)*(POWER(1+L53,J52)-1)/(POWER(1+L53,L48)-1)),0,POWER(1+L53,L48-J52)*(POWER(1+L53,J52)-1)/(POWER(1+L53,L48)-1))</f>
        <v>0</v>
      </c>
      <c r="O60" s="2256" t="s">
        <v>2363</v>
      </c>
      <c r="P60" s="2254" t="s">
        <v>2393</v>
      </c>
      <c r="Q60" s="2255">
        <f>IF(L56="比较法",L50,IF(L56="基准地价",L51,0))</f>
        <v>0</v>
      </c>
      <c r="R60" s="2254" t="s">
        <v>2360</v>
      </c>
    </row>
    <row r="61" spans="1:18" s="1942" customFormat="1" ht="15.75" thickBot="1">
      <c r="A61" s="1978"/>
      <c r="B61" s="1979"/>
      <c r="C61" s="1979"/>
      <c r="I61" s="2821" t="s">
        <v>2341</v>
      </c>
      <c r="J61" s="2822" t="str">
        <f ca="1">IF(OR(M48="住宅",J52&lt;L49,J57="是"),"0",ROUND(J60/(1+J53)^J54,0))</f>
        <v>0</v>
      </c>
      <c r="K61" s="2823" t="s">
        <v>2346</v>
      </c>
      <c r="L61" s="2822" t="e">
        <f ca="1">IF(OR(M48="住宅",L49&lt;J52),0,ROUND(L58*(L59/L60-1),0))</f>
        <v>#DIV/0!</v>
      </c>
      <c r="O61" s="2256" t="s">
        <v>2364</v>
      </c>
      <c r="P61" s="2254" t="s">
        <v>2373</v>
      </c>
      <c r="Q61" s="2257">
        <f>L53</f>
        <v>0</v>
      </c>
      <c r="R61" s="2258"/>
    </row>
    <row r="62" spans="1:18" s="1942" customFormat="1" ht="20.25" thickBot="1">
      <c r="A62" s="1978"/>
      <c r="B62" s="1979"/>
      <c r="C62" s="1979"/>
      <c r="K62" s="1968"/>
      <c r="O62" s="2256" t="s">
        <v>2366</v>
      </c>
      <c r="P62" s="2254" t="s">
        <v>2374</v>
      </c>
      <c r="Q62" s="2255">
        <f ca="1">L59</f>
        <v>0</v>
      </c>
      <c r="R62" s="2258" t="s">
        <v>2375</v>
      </c>
    </row>
    <row r="63" spans="1:18" s="1942" customFormat="1" ht="20.25" thickBot="1">
      <c r="A63" s="1978"/>
      <c r="B63" s="1979"/>
      <c r="C63" s="1979"/>
      <c r="I63" s="2824" t="s">
        <v>2347</v>
      </c>
      <c r="J63" s="2825" t="s">
        <v>2348</v>
      </c>
      <c r="K63" s="2825" t="s">
        <v>2349</v>
      </c>
      <c r="L63" s="2825" t="s">
        <v>2330</v>
      </c>
      <c r="M63" s="2826" t="s">
        <v>2893</v>
      </c>
      <c r="O63" s="2256" t="s">
        <v>2368</v>
      </c>
      <c r="P63" s="2254" t="s">
        <v>2376</v>
      </c>
      <c r="Q63" s="2255">
        <f ca="1">L60</f>
        <v>0</v>
      </c>
      <c r="R63" s="2258" t="s">
        <v>2377</v>
      </c>
    </row>
    <row r="64" spans="1:18" s="1942" customFormat="1" ht="15.75" thickBot="1">
      <c r="A64" s="1978"/>
      <c r="B64" s="1979"/>
      <c r="C64" s="1979"/>
      <c r="I64" s="2824" t="s">
        <v>2350</v>
      </c>
      <c r="J64" s="2825">
        <v>70</v>
      </c>
      <c r="K64" s="2825">
        <v>50</v>
      </c>
      <c r="L64" s="2825">
        <v>80</v>
      </c>
      <c r="M64" s="2827">
        <v>0.02</v>
      </c>
      <c r="O64" s="2253" t="s">
        <v>2371</v>
      </c>
      <c r="P64" s="2254" t="s">
        <v>2388</v>
      </c>
      <c r="Q64" s="2255" t="e">
        <f ca="1">Q58+Q59</f>
        <v>#DIV/0!</v>
      </c>
      <c r="R64" s="2258" t="s">
        <v>2372</v>
      </c>
    </row>
    <row r="65" spans="1:18" s="1942" customFormat="1" ht="16.5" thickBot="1">
      <c r="A65" s="1978"/>
      <c r="B65" s="1979"/>
      <c r="C65" s="1979"/>
      <c r="I65" s="2824" t="s">
        <v>2351</v>
      </c>
      <c r="J65" s="2825">
        <v>50</v>
      </c>
      <c r="K65" s="2825">
        <v>35</v>
      </c>
      <c r="L65" s="2825">
        <v>60</v>
      </c>
      <c r="M65" s="835">
        <v>0</v>
      </c>
      <c r="O65" s="2259" t="s">
        <v>2395</v>
      </c>
      <c r="P65" s="1527"/>
      <c r="Q65" s="1535"/>
      <c r="R65" s="1527"/>
    </row>
    <row r="66" spans="1:18" s="1942" customFormat="1" ht="15.75" thickBot="1">
      <c r="A66" s="1978"/>
      <c r="B66" s="1979"/>
      <c r="C66" s="1979"/>
      <c r="I66" s="2824" t="s">
        <v>2352</v>
      </c>
      <c r="J66" s="2825">
        <v>40</v>
      </c>
      <c r="K66" s="2825">
        <v>30</v>
      </c>
      <c r="L66" s="2825">
        <v>50</v>
      </c>
      <c r="M66" s="2827">
        <v>0.02</v>
      </c>
      <c r="O66" s="2250" t="s">
        <v>2355</v>
      </c>
      <c r="P66" s="2251" t="s">
        <v>2356</v>
      </c>
      <c r="Q66" s="2252" t="s">
        <v>2357</v>
      </c>
      <c r="R66" s="2251" t="s">
        <v>2358</v>
      </c>
    </row>
    <row r="67" spans="1:18" s="1942" customFormat="1" ht="15.75" thickBot="1">
      <c r="A67" s="1978"/>
      <c r="B67" s="1979"/>
      <c r="C67" s="1979"/>
      <c r="K67" s="1968"/>
      <c r="O67" s="2253" t="s">
        <v>2359</v>
      </c>
      <c r="P67" s="2254" t="s">
        <v>2385</v>
      </c>
      <c r="Q67" s="2255">
        <f ca="1">C41+J31</f>
        <v>0</v>
      </c>
      <c r="R67" s="2254" t="s">
        <v>2360</v>
      </c>
    </row>
    <row r="68" spans="1:18" s="1942" customFormat="1" ht="20.25" thickBot="1">
      <c r="A68" s="1978"/>
      <c r="B68" s="1979"/>
      <c r="C68" s="1979"/>
      <c r="K68" s="1968"/>
      <c r="O68" s="2253" t="s">
        <v>2361</v>
      </c>
      <c r="P68" s="2254" t="s">
        <v>2392</v>
      </c>
      <c r="Q68" s="2255" t="e">
        <f ca="1">L61</f>
        <v>#DIV/0!</v>
      </c>
      <c r="R68" s="2258" t="s">
        <v>2394</v>
      </c>
    </row>
    <row r="69" spans="1:18" s="1942" customFormat="1" ht="21.75" thickBot="1">
      <c r="A69" s="1978"/>
      <c r="B69" s="1979"/>
      <c r="C69" s="1979"/>
      <c r="K69" s="1968"/>
      <c r="O69" s="2256" t="s">
        <v>2363</v>
      </c>
      <c r="P69" s="2254" t="s">
        <v>2393</v>
      </c>
      <c r="Q69" s="2260">
        <f ca="1">L52</f>
        <v>0</v>
      </c>
      <c r="R69" s="2261" t="s">
        <v>2396</v>
      </c>
    </row>
    <row r="70" spans="1:18" s="1942" customFormat="1" ht="20.25" thickBot="1">
      <c r="A70" s="1978"/>
      <c r="B70" s="1979"/>
      <c r="C70" s="1979"/>
      <c r="K70" s="1968"/>
      <c r="O70" s="2256" t="s">
        <v>2364</v>
      </c>
      <c r="P70" s="2262" t="s">
        <v>2378</v>
      </c>
      <c r="Q70" s="2255">
        <f ca="1">ROUND(Q71-Q72*Q73,0)</f>
        <v>0</v>
      </c>
      <c r="R70" s="2258"/>
    </row>
    <row r="71" spans="1:18" s="1942" customFormat="1" ht="15.75" thickBot="1">
      <c r="A71" s="1978"/>
      <c r="B71" s="1979"/>
      <c r="C71" s="1979"/>
      <c r="K71" s="1968"/>
      <c r="O71" s="2256" t="s">
        <v>2379</v>
      </c>
      <c r="P71" s="2262" t="s">
        <v>2380</v>
      </c>
      <c r="Q71" s="2255">
        <f ca="1">C42</f>
        <v>0</v>
      </c>
      <c r="R71" s="2254" t="s">
        <v>2360</v>
      </c>
    </row>
    <row r="72" spans="1:18" s="1942" customFormat="1" ht="15.75" thickBot="1">
      <c r="A72" s="1978"/>
      <c r="B72" s="1979"/>
      <c r="C72" s="1979"/>
      <c r="K72" s="1968"/>
      <c r="O72" s="2256" t="s">
        <v>2381</v>
      </c>
      <c r="P72" s="2262" t="s">
        <v>2382</v>
      </c>
      <c r="Q72" s="2255">
        <f ca="1">C15</f>
        <v>0</v>
      </c>
      <c r="R72" s="2254" t="s">
        <v>2360</v>
      </c>
    </row>
    <row r="73" spans="1:18" s="1942" customFormat="1" ht="15.75" thickBot="1">
      <c r="A73" s="1978"/>
      <c r="B73" s="1979"/>
      <c r="C73" s="1979"/>
      <c r="K73" s="1968"/>
      <c r="O73" s="2256" t="s">
        <v>2383</v>
      </c>
      <c r="P73" s="2262" t="s">
        <v>2384</v>
      </c>
      <c r="Q73" s="2257">
        <f ca="1">F43</f>
        <v>0</v>
      </c>
      <c r="R73" s="2258"/>
    </row>
    <row r="74" spans="1:18" s="1942" customFormat="1" ht="15.75" thickBot="1">
      <c r="A74" s="1978"/>
      <c r="B74" s="1979"/>
      <c r="C74" s="1979"/>
      <c r="K74" s="1968"/>
      <c r="O74" s="2256" t="s">
        <v>2366</v>
      </c>
      <c r="P74" s="2254" t="s">
        <v>2373</v>
      </c>
      <c r="Q74" s="2257">
        <f>L53</f>
        <v>0</v>
      </c>
      <c r="R74" s="2258"/>
    </row>
    <row r="75" spans="1:18" s="1942" customFormat="1" ht="20.25" thickBot="1">
      <c r="A75" s="1978"/>
      <c r="B75" s="1979"/>
      <c r="C75" s="1979"/>
      <c r="K75" s="1968"/>
      <c r="O75" s="2256" t="s">
        <v>2368</v>
      </c>
      <c r="P75" s="2254" t="s">
        <v>2374</v>
      </c>
      <c r="Q75" s="2255">
        <f ca="1">L59</f>
        <v>0</v>
      </c>
      <c r="R75" s="2258" t="s">
        <v>2375</v>
      </c>
    </row>
    <row r="76" spans="1:18" s="1942" customFormat="1" ht="20.25" thickBot="1">
      <c r="A76" s="1978"/>
      <c r="B76" s="1979"/>
      <c r="C76" s="1979"/>
      <c r="K76" s="1968"/>
      <c r="O76" s="2256" t="s">
        <v>2397</v>
      </c>
      <c r="P76" s="2254" t="s">
        <v>2376</v>
      </c>
      <c r="Q76" s="2255">
        <f ca="1">L60</f>
        <v>0</v>
      </c>
      <c r="R76" s="2258" t="s">
        <v>2377</v>
      </c>
    </row>
    <row r="77" spans="1:18" s="1942" customFormat="1" ht="15.75" thickBot="1">
      <c r="A77" s="1978"/>
      <c r="B77" s="1979"/>
      <c r="C77" s="1979"/>
      <c r="K77" s="1968"/>
      <c r="O77" s="2253" t="s">
        <v>2371</v>
      </c>
      <c r="P77" s="2254" t="s">
        <v>2388</v>
      </c>
      <c r="Q77" s="2255" t="e">
        <f ca="1">Q67+Q68</f>
        <v>#DIV/0!</v>
      </c>
      <c r="R77" s="2258" t="s">
        <v>2372</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光大兴陇信托有限责任公司：</v>
      </c>
    </row>
    <row r="4" spans="1:4" ht="37.5">
      <c r="A4" s="1706"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12606.51平方米。根据，估价对象规划建筑面积为37819.53平方米。</v>
      </c>
    </row>
    <row r="7" spans="1:4" ht="56.25">
      <c r="A7" s="1710" t="s">
        <v>2723</v>
      </c>
    </row>
    <row r="8" spans="1:4" ht="18.75">
      <c r="A8" s="1709" t="s">
        <v>1897</v>
      </c>
    </row>
    <row r="9" spans="1:4" ht="112.5">
      <c r="A9" s="1711"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2020年12月1日（评估专业人员勘察现场之日）</v>
      </c>
    </row>
    <row r="12" spans="1:4" ht="18.75">
      <c r="A12" s="1712" t="s">
        <v>2011</v>
      </c>
    </row>
    <row r="13" spans="1:4" ht="18.75">
      <c r="A13" s="1706" t="s">
        <v>2892</v>
      </c>
    </row>
    <row r="14" spans="1:4" ht="18.75">
      <c r="A14" s="1706" t="str">
        <f>"根据"&amp;项目基本情况!F12&amp;"，本次评估估价对象证载（地类）用途为"&amp;项目基本情况!B12&amp;"。"</f>
        <v>根据住宅，本次评估估价对象证载（地类）用途为住宅。</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6"/>
      <c r="D15" s="1697"/>
    </row>
    <row r="16" spans="1:4" ht="18.75">
      <c r="A16" s="1706" t="s">
        <v>2058</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2059</v>
      </c>
    </row>
    <row r="20" spans="1:1" ht="3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根据，估价对象（分摊）出让国有建设用地使用权面积为12606.51平方米。根据，估价对象规划建筑面积为37819.53平方米。</v>
      </c>
    </row>
    <row r="21" spans="1:1" ht="18.75">
      <c r="A21" s="1706" t="s">
        <v>2060</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本次估价对象为出让国有建设用地使用权，住宅证载土地终止日期为住宅2090年10月10日。截至估价期日，出让国有建设用地使用权剩余土地使用年限为。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12月1日，在规划利用条件下、设定土地开发程度为红线外“七通”、宗地内场地，设定用途为住宅，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31" zoomScale="60" zoomScaleNormal="60" workbookViewId="0">
      <selection activeCell="C59" sqref="C59"/>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2354</v>
      </c>
      <c r="F1" s="2243">
        <f ca="1">J53</f>
        <v>0</v>
      </c>
      <c r="G1" s="3256">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1"/>
      <c r="D2" s="3262"/>
      <c r="E2" s="3263"/>
      <c r="F2" s="3263"/>
      <c r="G2" s="3257"/>
      <c r="H2" s="1940"/>
      <c r="I2" s="1940"/>
      <c r="J2" s="1940"/>
      <c r="K2" s="1941"/>
      <c r="L2" s="1940"/>
      <c r="M2" s="1940"/>
    </row>
    <row r="3" spans="1:33" ht="18" customHeight="1" thickBot="1">
      <c r="A3" s="822" t="s">
        <v>1718</v>
      </c>
      <c r="B3" s="823">
        <f ca="1">IF(ISERROR(B2*10000/F43),0,ROUND(B2*10000/F43,0))</f>
        <v>0</v>
      </c>
      <c r="C3" s="3261"/>
      <c r="D3" s="3262"/>
      <c r="E3" s="3263"/>
      <c r="F3" s="3263"/>
      <c r="G3" s="3257"/>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2435</v>
      </c>
      <c r="C5" s="55">
        <f ca="1">C6+C10+C12</f>
        <v>0</v>
      </c>
      <c r="D5" s="2349" t="s">
        <v>2438</v>
      </c>
      <c r="E5" s="2343"/>
      <c r="F5" s="2344"/>
      <c r="G5" s="1945"/>
      <c r="H5" s="771">
        <v>1</v>
      </c>
      <c r="I5" s="772" t="s">
        <v>2435</v>
      </c>
      <c r="J5" s="55">
        <f ca="1">J6+J10+J12</f>
        <v>0</v>
      </c>
      <c r="K5" s="2349" t="s">
        <v>2438</v>
      </c>
      <c r="L5" s="2343"/>
      <c r="M5" s="2344"/>
    </row>
    <row r="6" spans="1:33" ht="18" customHeight="1">
      <c r="A6" s="1745" t="s">
        <v>1815</v>
      </c>
      <c r="B6" s="3596" t="s">
        <v>2440</v>
      </c>
      <c r="C6" s="773">
        <f ca="1">ROUND(F6*F8*F7*(1-F9)/10000,0)</f>
        <v>0</v>
      </c>
      <c r="D6" s="2350" t="s">
        <v>2439</v>
      </c>
      <c r="E6" s="774" t="s">
        <v>1729</v>
      </c>
      <c r="F6" s="775">
        <f ca="1">INDIRECT("'数据-取费表'!u"&amp;$G$1)</f>
        <v>0</v>
      </c>
      <c r="G6" s="1945"/>
      <c r="H6" s="2357" t="s">
        <v>2445</v>
      </c>
      <c r="I6" s="3596" t="s">
        <v>2440</v>
      </c>
      <c r="J6" s="773">
        <f ca="1">ROUND(M6*M8*M7*(1-M9)/10000,0)</f>
        <v>0</v>
      </c>
      <c r="K6" s="339" t="s">
        <v>1728</v>
      </c>
      <c r="L6" s="774" t="s">
        <v>1729</v>
      </c>
      <c r="M6" s="775">
        <f ca="1">INDIRECT("'数据-取费表'!z"&amp;$G$1)</f>
        <v>0</v>
      </c>
    </row>
    <row r="7" spans="1:33" ht="18" customHeight="1">
      <c r="A7" s="2353"/>
      <c r="B7" s="3597"/>
      <c r="C7" s="778"/>
      <c r="D7" s="779"/>
      <c r="E7" s="774" t="s">
        <v>1730</v>
      </c>
      <c r="F7" s="775">
        <f ca="1">IF(INDIRECT("'数据-取费表'!ah"&amp;$G$1)="",INDIRECT("'数据-取费表'!k"&amp;$G$1),INDIRECT("'数据-取费表'!ah"&amp;$G$1))</f>
        <v>0</v>
      </c>
      <c r="G7" s="1945"/>
      <c r="H7" s="2342"/>
      <c r="I7" s="3597"/>
      <c r="J7" s="778"/>
      <c r="K7" s="779"/>
      <c r="L7" s="774" t="s">
        <v>1730</v>
      </c>
      <c r="M7" s="775">
        <f ca="1">F7</f>
        <v>0</v>
      </c>
    </row>
    <row r="8" spans="1:33" ht="18" customHeight="1">
      <c r="A8" s="2346"/>
      <c r="B8" s="3598"/>
      <c r="C8" s="778"/>
      <c r="D8" s="779"/>
      <c r="E8" s="774" t="s">
        <v>1731</v>
      </c>
      <c r="F8" s="775">
        <f ca="1">INDIRECT("'数据-取费表'!ai"&amp;$G$1)</f>
        <v>0</v>
      </c>
      <c r="G8" s="1945"/>
      <c r="H8" s="2342"/>
      <c r="I8" s="3598"/>
      <c r="J8" s="778"/>
      <c r="K8" s="779"/>
      <c r="L8" s="774" t="s">
        <v>1731</v>
      </c>
      <c r="M8" s="775">
        <f ca="1">INDIRECT("'数据-取费表'!ai"&amp;$G$1)</f>
        <v>0</v>
      </c>
    </row>
    <row r="9" spans="1:33" ht="18" customHeight="1">
      <c r="A9" s="776"/>
      <c r="B9" s="3599"/>
      <c r="C9" s="778"/>
      <c r="D9" s="779"/>
      <c r="E9" s="774" t="s">
        <v>1732</v>
      </c>
      <c r="F9" s="784">
        <f ca="1">INDIRECT("'数据-取费表'!w"&amp;$G$1)</f>
        <v>0</v>
      </c>
      <c r="G9" s="1945"/>
      <c r="H9" s="2358"/>
      <c r="I9" s="3598"/>
      <c r="J9" s="778"/>
      <c r="K9" s="779"/>
      <c r="L9" s="785" t="s">
        <v>1732</v>
      </c>
      <c r="M9" s="786">
        <f ca="1">INDIRECT("'数据-取费表'!ab"&amp;$G$1)</f>
        <v>0</v>
      </c>
    </row>
    <row r="10" spans="1:33" ht="18" customHeight="1">
      <c r="A10" s="1745" t="s">
        <v>2443</v>
      </c>
      <c r="B10" s="2347" t="s">
        <v>2436</v>
      </c>
      <c r="C10" s="789">
        <f ca="1">ROUND(IF(F10="押一",C6/12*F11,IF(F10="押二",C6/12*2*F11,IF(F10="押三",C6/12*3*F11,C11*F11))),0)</f>
        <v>0</v>
      </c>
      <c r="D10" s="2354" t="s">
        <v>2921</v>
      </c>
      <c r="E10" s="2351" t="s">
        <v>2441</v>
      </c>
      <c r="F10" s="2465"/>
      <c r="G10" s="1945"/>
      <c r="H10" s="2414" t="s">
        <v>2446</v>
      </c>
      <c r="I10" s="2419" t="s">
        <v>2436</v>
      </c>
      <c r="J10" s="773">
        <f ca="1">ROUND(IF(M10="押一",J6/12*M11,IF(M10="押二",J6/12*2*M11,IF(M10="押三",J6/12*3*M11,J11*M11))),0)</f>
        <v>0</v>
      </c>
      <c r="K10" s="2354" t="s">
        <v>2921</v>
      </c>
      <c r="L10" s="2351" t="s">
        <v>2441</v>
      </c>
      <c r="M10" s="2465"/>
    </row>
    <row r="11" spans="1:33" ht="18" customHeight="1">
      <c r="A11" s="780"/>
      <c r="B11" s="2348" t="s">
        <v>2550</v>
      </c>
      <c r="C11" s="2352"/>
      <c r="D11" s="779"/>
      <c r="E11" s="2351" t="s">
        <v>2442</v>
      </c>
      <c r="F11" s="786">
        <f ca="1">'数据-取费表'!B39</f>
        <v>1.4999999999999999E-2</v>
      </c>
      <c r="G11" s="1945"/>
      <c r="H11" s="2415"/>
      <c r="I11" s="2348" t="s">
        <v>2550</v>
      </c>
      <c r="J11" s="2352"/>
      <c r="K11" s="2416"/>
      <c r="L11" s="2351" t="s">
        <v>2442</v>
      </c>
      <c r="M11" s="2345">
        <f ca="1">'数据-取费表'!B39</f>
        <v>1.4999999999999999E-2</v>
      </c>
    </row>
    <row r="12" spans="1:33" ht="18" customHeight="1" thickBot="1">
      <c r="A12" s="2390" t="s">
        <v>2444</v>
      </c>
      <c r="B12" s="2391" t="s">
        <v>2437</v>
      </c>
      <c r="C12" s="2392"/>
      <c r="D12" s="2393"/>
      <c r="E12" s="2394"/>
      <c r="F12" s="2395"/>
      <c r="G12" s="1945"/>
      <c r="H12" s="2404" t="s">
        <v>2447</v>
      </c>
      <c r="I12" s="2417" t="s">
        <v>2437</v>
      </c>
      <c r="J12" s="2418"/>
      <c r="K12" s="2393"/>
      <c r="L12" s="2394"/>
      <c r="M12" s="2407"/>
    </row>
    <row r="13" spans="1:33" ht="18" customHeight="1" thickTop="1">
      <c r="A13" s="1744">
        <v>2</v>
      </c>
      <c r="B13" s="1742" t="s">
        <v>1733</v>
      </c>
      <c r="C13" s="782">
        <f ca="1">ROUND(C29*F13,0)</f>
        <v>0</v>
      </c>
      <c r="D13" s="1749" t="s">
        <v>2282</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2801</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58"/>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120</v>
      </c>
      <c r="G17" s="3258"/>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58"/>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58"/>
      <c r="H20" s="1580"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2283</v>
      </c>
      <c r="E21" s="774" t="s">
        <v>1756</v>
      </c>
      <c r="F21" s="799">
        <f>'数据-取费表'!B38</f>
        <v>0.02</v>
      </c>
      <c r="G21" s="3258"/>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复利计息。建造成本、管理费用、销售费用产生的利息。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2512</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58"/>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1E-3</v>
      </c>
      <c r="D24" s="2423" t="str">
        <f>IF(F23&lt;=1,"销售费用×利率×(建设周期÷2)","销售费用×((1+利率)^(建设周期÷2)-1)")</f>
        <v>销售费用×((1+利率)^(建设周期÷2)-1)</v>
      </c>
      <c r="E24" s="774" t="s">
        <v>1764</v>
      </c>
      <c r="F24" s="808">
        <f ca="1">'数据-取费表'!B40</f>
        <v>4.7500000000000001E-2</v>
      </c>
      <c r="G24" s="3258"/>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2797</v>
      </c>
      <c r="J25" s="782">
        <f ca="1">J5-J16</f>
        <v>0</v>
      </c>
      <c r="K25" s="2401" t="s">
        <v>1768</v>
      </c>
      <c r="L25" s="2402"/>
      <c r="M25" s="2403"/>
    </row>
    <row r="26" spans="1:33" ht="18" customHeight="1">
      <c r="A26" s="1577" t="s">
        <v>1822</v>
      </c>
      <c r="B26" s="774" t="s">
        <v>2417</v>
      </c>
      <c r="C26" s="53">
        <f ca="1">ROUND((C19+C20)*F26,0)</f>
        <v>0</v>
      </c>
      <c r="D26" s="801" t="s">
        <v>1769</v>
      </c>
      <c r="E26" s="785" t="s">
        <v>1770</v>
      </c>
      <c r="F26" s="784">
        <f ca="1">INDIRECT("'数据-取费表'!q"&amp;$G$1)</f>
        <v>0</v>
      </c>
      <c r="G26" s="1945"/>
      <c r="H26" s="2355" t="s">
        <v>1771</v>
      </c>
      <c r="I26" s="2112" t="s">
        <v>2802</v>
      </c>
      <c r="J26" s="773">
        <f ca="1">IF(J5&lt;&gt;0,ROUND(J25*(1-((1+M28)/(1+M26))^M27)/(M26-M28),0),0)</f>
        <v>0</v>
      </c>
      <c r="K26" s="803" t="s">
        <v>1772</v>
      </c>
      <c r="L26" s="774" t="s">
        <v>2399</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2284</v>
      </c>
      <c r="E28" s="774" t="s">
        <v>1776</v>
      </c>
      <c r="F28" s="799">
        <f>'数据-取费表'!B41</f>
        <v>5.5000000000000007E-2</v>
      </c>
      <c r="G28" s="3258"/>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2285</v>
      </c>
      <c r="C29" s="2397">
        <f ca="1">ROUND((C19+C20+C23+C26)/(1-F21-C24-C27-C28),0)</f>
        <v>0</v>
      </c>
      <c r="D29" s="2398"/>
      <c r="E29" s="2399"/>
      <c r="F29" s="2400"/>
      <c r="G29" s="3258"/>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5" t="s">
        <v>2980</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2797</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2286</v>
      </c>
      <c r="C40" s="773" t="e">
        <f ca="1">ROUND(C39*(1-((1+F42)/(1+F40))^F41)/(F40-F42),0)</f>
        <v>#DIV/0!</v>
      </c>
      <c r="D40" s="803" t="s">
        <v>1798</v>
      </c>
      <c r="E40" s="774" t="s">
        <v>2399</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2912</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2280</v>
      </c>
      <c r="B46" s="1967"/>
      <c r="C46" s="2426" t="e">
        <f ca="1">C67-C40</f>
        <v>#DIV/0!</v>
      </c>
      <c r="D46" s="3259"/>
      <c r="E46" s="3259"/>
      <c r="F46" s="3259"/>
      <c r="I46" s="2233" t="s">
        <v>2323</v>
      </c>
      <c r="J46" s="2234"/>
      <c r="K46" s="2235"/>
      <c r="L46" s="2811" t="e">
        <f ca="1">IF(OR(M47="住宅",D1="土地（套用方法）"),0,IF(L48&gt;J51,L60,J60))</f>
        <v>#DIV/0!</v>
      </c>
      <c r="M46" s="3260"/>
      <c r="O46" s="2249" t="s">
        <v>2390</v>
      </c>
      <c r="P46" s="1527"/>
      <c r="Q46" s="1535"/>
      <c r="R46" s="1527"/>
    </row>
    <row r="47" spans="1:18" s="1942" customFormat="1" ht="18" customHeight="1" thickBot="1">
      <c r="A47" s="2227">
        <v>1</v>
      </c>
      <c r="B47" s="2228" t="s">
        <v>629</v>
      </c>
      <c r="C47" s="2426">
        <f ca="1">C48+C52+C54</f>
        <v>0</v>
      </c>
      <c r="D47" s="3259"/>
      <c r="E47" s="3259"/>
      <c r="F47" s="3259"/>
      <c r="I47" s="2802" t="s">
        <v>2324</v>
      </c>
      <c r="J47" s="2236"/>
      <c r="K47" s="2808" t="s">
        <v>2329</v>
      </c>
      <c r="L47" s="2812">
        <f ca="1">INDIRECT("'数据-取费表'!d"&amp;$G$1)</f>
        <v>0</v>
      </c>
      <c r="M47" s="1535" t="str">
        <f>IF(ISNUMBER(FIND("住宅",C1)),"住宅","非住宅")</f>
        <v>非住宅</v>
      </c>
      <c r="O47" s="2250" t="s">
        <v>2355</v>
      </c>
      <c r="P47" s="2251" t="s">
        <v>2356</v>
      </c>
      <c r="Q47" s="2252" t="s">
        <v>2357</v>
      </c>
      <c r="R47" s="2251" t="s">
        <v>2358</v>
      </c>
    </row>
    <row r="48" spans="1:18" s="1942" customFormat="1" ht="18" customHeight="1" thickBot="1">
      <c r="A48" s="2484" t="s">
        <v>2514</v>
      </c>
      <c r="B48" s="2485" t="s">
        <v>2515</v>
      </c>
      <c r="C48" s="2229">
        <f ca="1">ROUND(F48*F50*F49*(1-F51)/10000,0)</f>
        <v>0</v>
      </c>
      <c r="D48" s="2230" t="s">
        <v>630</v>
      </c>
      <c r="E48" s="2231" t="s">
        <v>2281</v>
      </c>
      <c r="F48" s="2232"/>
      <c r="G48" s="1972"/>
      <c r="I48" s="2799" t="s">
        <v>2325</v>
      </c>
      <c r="J48" s="2237"/>
      <c r="K48" s="2809" t="s">
        <v>2331</v>
      </c>
      <c r="L48" s="1822">
        <f ca="1">INDIRECT("'数据-取费表'!f"&amp;$G$1)</f>
        <v>0</v>
      </c>
      <c r="M48" s="3260"/>
      <c r="O48" s="2253" t="s">
        <v>2359</v>
      </c>
      <c r="P48" s="2254" t="s">
        <v>2385</v>
      </c>
      <c r="Q48" s="2255" t="e">
        <f ca="1">C40+J29</f>
        <v>#DIV/0!</v>
      </c>
      <c r="R48" s="2254" t="s">
        <v>2360</v>
      </c>
    </row>
    <row r="49" spans="1:18" s="1942" customFormat="1" ht="18" customHeight="1" thickBot="1">
      <c r="A49" s="776"/>
      <c r="B49" s="777"/>
      <c r="C49" s="778"/>
      <c r="D49" s="779"/>
      <c r="E49" s="774" t="s">
        <v>1730</v>
      </c>
      <c r="F49" s="775">
        <f ca="1">F7</f>
        <v>0</v>
      </c>
      <c r="G49" s="1972"/>
      <c r="H49" s="1975"/>
      <c r="I49" s="2799" t="s">
        <v>2326</v>
      </c>
      <c r="J49" s="2238"/>
      <c r="K49" s="2810" t="s">
        <v>2332</v>
      </c>
      <c r="L49" s="2239"/>
      <c r="M49" s="3260"/>
      <c r="O49" s="2253" t="s">
        <v>2361</v>
      </c>
      <c r="P49" s="2254" t="s">
        <v>2386</v>
      </c>
      <c r="Q49" s="2255" t="e">
        <f ca="1">J60</f>
        <v>#DIV/0!</v>
      </c>
      <c r="R49" s="2254" t="s">
        <v>2362</v>
      </c>
    </row>
    <row r="50" spans="1:18" s="1942" customFormat="1" ht="18" customHeight="1" thickBot="1">
      <c r="A50" s="776"/>
      <c r="B50" s="777"/>
      <c r="C50" s="778"/>
      <c r="D50" s="779"/>
      <c r="E50" s="774" t="s">
        <v>1731</v>
      </c>
      <c r="F50" s="775">
        <f ca="1">F8</f>
        <v>0</v>
      </c>
      <c r="G50" s="1977"/>
      <c r="H50" s="1975"/>
      <c r="I50" s="2799" t="s">
        <v>2327</v>
      </c>
      <c r="J50" s="2806">
        <f>SUMPRODUCT((I63:I65=J47)*(J62:L62=J48)*(J63:L65))</f>
        <v>0</v>
      </c>
      <c r="K50" s="2810" t="s">
        <v>2333</v>
      </c>
      <c r="L50" s="2239"/>
      <c r="M50" s="3260"/>
      <c r="O50" s="2256" t="s">
        <v>2363</v>
      </c>
      <c r="P50" s="2254" t="s">
        <v>2387</v>
      </c>
      <c r="Q50" s="2255">
        <f ca="1">C29</f>
        <v>0</v>
      </c>
      <c r="R50" s="2254" t="s">
        <v>2360</v>
      </c>
    </row>
    <row r="51" spans="1:18" s="1942" customFormat="1" ht="18" customHeight="1" thickBot="1">
      <c r="A51" s="776"/>
      <c r="B51" s="777"/>
      <c r="C51" s="778"/>
      <c r="D51" s="779"/>
      <c r="E51" s="774" t="s">
        <v>634</v>
      </c>
      <c r="F51" s="2226"/>
      <c r="H51" s="1975"/>
      <c r="I51" s="2803" t="s">
        <v>2328</v>
      </c>
      <c r="J51" s="2807">
        <f>IF(J49="",J50,J49+J50-YEAR('数据-取费表'!B2))</f>
        <v>0</v>
      </c>
      <c r="K51" s="2799" t="s">
        <v>2334</v>
      </c>
      <c r="L51" s="2813">
        <f ca="1">ROUND(-PV(INDIRECT("'数据-取费表'!h"&amp;$G$1),J51,(C39-C13*J36),0),0)</f>
        <v>0</v>
      </c>
      <c r="M51" s="3260"/>
      <c r="O51" s="2256" t="s">
        <v>2364</v>
      </c>
      <c r="P51" s="2254" t="s">
        <v>2365</v>
      </c>
      <c r="Q51" s="2257" t="e">
        <f ca="1">J58</f>
        <v>#DIV/0!</v>
      </c>
      <c r="R51" s="2258"/>
    </row>
    <row r="52" spans="1:18" s="1942" customFormat="1" ht="18" customHeight="1" thickBot="1">
      <c r="A52" s="771" t="s">
        <v>2513</v>
      </c>
      <c r="B52" s="2347" t="s">
        <v>2436</v>
      </c>
      <c r="C52" s="789">
        <f ca="1">ROUND(IF(F52="押一",C48/12*F11,IF(F52="押二",C48/12*2*F11,IF(F52="押三",C48/12*3*F11,C53*F11))),0)</f>
        <v>0</v>
      </c>
      <c r="D52" s="2354" t="s">
        <v>2922</v>
      </c>
      <c r="E52" s="2351" t="s">
        <v>2441</v>
      </c>
      <c r="F52" s="2465"/>
      <c r="I52" s="2804" t="s">
        <v>2401</v>
      </c>
      <c r="J52" s="2240"/>
      <c r="K52" s="2804" t="s">
        <v>2400</v>
      </c>
      <c r="L52" s="2240"/>
      <c r="M52" s="3260"/>
      <c r="O52" s="2256" t="s">
        <v>2366</v>
      </c>
      <c r="P52" s="2254" t="s">
        <v>2367</v>
      </c>
      <c r="Q52" s="2257">
        <f>J52</f>
        <v>0</v>
      </c>
      <c r="R52" s="2258"/>
    </row>
    <row r="53" spans="1:18" s="1942" customFormat="1" ht="39.75" customHeight="1" thickBot="1">
      <c r="A53" s="776"/>
      <c r="B53" s="2348" t="s">
        <v>2550</v>
      </c>
      <c r="C53" s="2352"/>
      <c r="D53" s="2354"/>
      <c r="E53" s="2351"/>
      <c r="F53" s="790"/>
      <c r="I53" s="2805" t="s">
        <v>2925</v>
      </c>
      <c r="J53" s="2858">
        <f ca="1">IF(M47="住宅",IF(D1="——",MAX(J51,L48),MAX(J51,L48-'数据-取费表'!B20)),IF(D1="——",MIN(J51,L48),MIN(J51,L48-'数据-取费表'!B20)))</f>
        <v>0</v>
      </c>
      <c r="K53" s="3602" t="s">
        <v>2914</v>
      </c>
      <c r="L53" s="3603"/>
      <c r="M53" s="3260"/>
      <c r="O53" s="2256" t="s">
        <v>2368</v>
      </c>
      <c r="P53" s="2254" t="s">
        <v>2369</v>
      </c>
      <c r="Q53" s="2255">
        <f ca="1">J53</f>
        <v>0</v>
      </c>
      <c r="R53" s="2254" t="s">
        <v>2370</v>
      </c>
    </row>
    <row r="54" spans="1:18" s="1942" customFormat="1" ht="18" customHeight="1" thickBot="1">
      <c r="A54" s="2390" t="s">
        <v>2444</v>
      </c>
      <c r="B54" s="2391" t="s">
        <v>2437</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0"/>
      <c r="O54" s="2253" t="s">
        <v>2371</v>
      </c>
      <c r="P54" s="2254" t="s">
        <v>2388</v>
      </c>
      <c r="Q54" s="2255" t="e">
        <f ca="1">Q48+Q49</f>
        <v>#DIV/0!</v>
      </c>
      <c r="R54" s="2258" t="s">
        <v>2372</v>
      </c>
    </row>
    <row r="55" spans="1:18" s="1942" customFormat="1" ht="18" customHeight="1" thickTop="1" thickBot="1">
      <c r="A55" s="787">
        <v>2</v>
      </c>
      <c r="B55" s="788" t="s">
        <v>638</v>
      </c>
      <c r="C55" s="789">
        <f ca="1">C13</f>
        <v>0</v>
      </c>
      <c r="D55" s="785"/>
      <c r="E55" s="785"/>
      <c r="F55" s="790"/>
      <c r="I55" s="2816" t="s">
        <v>2335</v>
      </c>
      <c r="J55" s="2788" t="e">
        <f ca="1">ROUND(IF(J47="钢混",J57/J50,1-(1-2%)*(J50-J57)/J50),3)</f>
        <v>#DIV/0!</v>
      </c>
      <c r="K55" s="2817" t="s">
        <v>2336</v>
      </c>
      <c r="L55" s="2241"/>
      <c r="M55" s="3260"/>
      <c r="O55" s="2259" t="s">
        <v>2391</v>
      </c>
      <c r="P55" s="1527"/>
      <c r="Q55" s="1535"/>
      <c r="R55" s="1527"/>
    </row>
    <row r="56" spans="1:18" s="1942" customFormat="1" ht="42.75" customHeight="1" thickBot="1">
      <c r="A56" s="1579"/>
      <c r="B56" s="2111" t="s">
        <v>2287</v>
      </c>
      <c r="C56" s="53">
        <f ca="1">C29</f>
        <v>0</v>
      </c>
      <c r="D56" s="2481"/>
      <c r="E56" s="774"/>
      <c r="F56" s="799"/>
      <c r="I56" s="2818" t="s">
        <v>2337</v>
      </c>
      <c r="J56" s="2828"/>
      <c r="K56" s="2799" t="s">
        <v>2342</v>
      </c>
      <c r="L56" s="1822">
        <f ca="1">IF(L48&lt;J51,"——",L48-J51)</f>
        <v>0</v>
      </c>
      <c r="M56" s="3260"/>
      <c r="O56" s="2250" t="s">
        <v>2355</v>
      </c>
      <c r="P56" s="2251" t="s">
        <v>2356</v>
      </c>
      <c r="Q56" s="2252" t="s">
        <v>2357</v>
      </c>
      <c r="R56" s="2251" t="s">
        <v>2358</v>
      </c>
    </row>
    <row r="57" spans="1:18" s="1942" customFormat="1" ht="28.5" customHeight="1" thickBot="1">
      <c r="A57" s="787" t="s">
        <v>1739</v>
      </c>
      <c r="B57" s="788" t="s">
        <v>645</v>
      </c>
      <c r="C57" s="789">
        <f ca="1">ROUND(C58+C63+C64+C65,0)</f>
        <v>0</v>
      </c>
      <c r="D57" s="26" t="s">
        <v>1741</v>
      </c>
      <c r="E57" s="2482"/>
      <c r="F57" s="56"/>
      <c r="I57" s="2819" t="s">
        <v>2338</v>
      </c>
      <c r="J57" s="2820">
        <f ca="1">IF(OR(M47="住宅",J51&lt;L48,J56="是"),"——",J51-L48)</f>
        <v>0</v>
      </c>
      <c r="K57" s="2799" t="s">
        <v>2343</v>
      </c>
      <c r="L57" s="1822">
        <f ca="1">IF(L48&lt;J51,"——",IF(L55="比较法",L49,IF(L55="基准地价",L50,L51)))</f>
        <v>0</v>
      </c>
      <c r="M57" s="3260"/>
      <c r="O57" s="2253" t="s">
        <v>2359</v>
      </c>
      <c r="P57" s="2254" t="s">
        <v>2389</v>
      </c>
      <c r="Q57" s="2255" t="e">
        <f ca="1">C40+J29</f>
        <v>#DIV/0!</v>
      </c>
      <c r="R57" s="2254" t="s">
        <v>2360</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2339</v>
      </c>
      <c r="J58" s="2789" t="e">
        <f ca="1">IF(J55&lt;0.4,0.4,J55)</f>
        <v>#DIV/0!</v>
      </c>
      <c r="K58" s="2799" t="s">
        <v>2344</v>
      </c>
      <c r="L58" s="1822" t="e">
        <f ca="1">ROUND(POWER(1+L52,L47-L48)*(POWER(1+L52,L48)-1)/(POWER(1+L52,L47)-1),4)</f>
        <v>#DIV/0!</v>
      </c>
      <c r="M58" s="3260"/>
      <c r="O58" s="2253" t="s">
        <v>2361</v>
      </c>
      <c r="P58" s="2254" t="s">
        <v>2392</v>
      </c>
      <c r="Q58" s="2255" t="e">
        <f ca="1">L60</f>
        <v>#DIV/0!</v>
      </c>
      <c r="R58" s="2258" t="s">
        <v>2394</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2340</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0"/>
      <c r="O59" s="2256" t="s">
        <v>2363</v>
      </c>
      <c r="P59" s="2254" t="s">
        <v>2393</v>
      </c>
      <c r="Q59" s="2255">
        <f>IF(L55="比较法",L49,IF(L55="基准地价",L50,0))</f>
        <v>0</v>
      </c>
      <c r="R59" s="2254" t="s">
        <v>2360</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2341</v>
      </c>
      <c r="J60" s="2822" t="e">
        <f ca="1">IF(OR(M47="住宅",J51&lt;L48,J56="是"),"0",ROUND(J59/(1+J52)^J53,0))</f>
        <v>#DIV/0!</v>
      </c>
      <c r="K60" s="2823" t="s">
        <v>2346</v>
      </c>
      <c r="L60" s="2822" t="e">
        <f ca="1">IF(OR(M47="住宅",L48&lt;J51),0,ROUND(L57*(L58/L59-1),0))</f>
        <v>#DIV/0!</v>
      </c>
      <c r="M60" s="3260"/>
      <c r="O60" s="2256" t="s">
        <v>2364</v>
      </c>
      <c r="P60" s="2254" t="s">
        <v>2373</v>
      </c>
      <c r="Q60" s="2257">
        <f>L52</f>
        <v>0</v>
      </c>
      <c r="R60" s="2258"/>
    </row>
    <row r="61" spans="1:18" s="1942" customFormat="1" ht="18" customHeight="1" thickBot="1">
      <c r="A61" s="1580" t="s">
        <v>1824</v>
      </c>
      <c r="B61" s="339" t="s">
        <v>662</v>
      </c>
      <c r="C61" s="54">
        <f ca="1">ROUND(F61*F62/10000,1)</f>
        <v>0</v>
      </c>
      <c r="D61" s="803" t="s">
        <v>663</v>
      </c>
      <c r="E61" s="774" t="s">
        <v>664</v>
      </c>
      <c r="F61" s="632">
        <f t="shared" si="0"/>
        <v>0</v>
      </c>
      <c r="K61" s="1968"/>
      <c r="O61" s="2256" t="s">
        <v>2366</v>
      </c>
      <c r="P61" s="2254" t="s">
        <v>2374</v>
      </c>
      <c r="Q61" s="2255" t="e">
        <f ca="1">L58</f>
        <v>#DIV/0!</v>
      </c>
      <c r="R61" s="2258" t="s">
        <v>2375</v>
      </c>
    </row>
    <row r="62" spans="1:18" s="1942" customFormat="1" ht="15.75" thickBot="1">
      <c r="A62" s="804"/>
      <c r="B62" s="783"/>
      <c r="C62" s="69"/>
      <c r="D62" s="805"/>
      <c r="E62" s="774" t="s">
        <v>668</v>
      </c>
      <c r="F62" s="775">
        <f t="shared" ca="1" si="0"/>
        <v>0</v>
      </c>
      <c r="I62" s="2824" t="s">
        <v>2347</v>
      </c>
      <c r="J62" s="2825" t="s">
        <v>2348</v>
      </c>
      <c r="K62" s="2825" t="s">
        <v>2349</v>
      </c>
      <c r="L62" s="2825" t="s">
        <v>2330</v>
      </c>
      <c r="M62" s="2826" t="s">
        <v>2893</v>
      </c>
      <c r="O62" s="2256" t="s">
        <v>2368</v>
      </c>
      <c r="P62" s="2254" t="str">
        <f>K59</f>
        <v>建筑物剩余耐用年限下的土地年期修正系数Kn</v>
      </c>
      <c r="Q62" s="2255" t="e">
        <f ca="1">L59</f>
        <v>#DIV/0!</v>
      </c>
      <c r="R62" s="2258" t="s">
        <v>2377</v>
      </c>
    </row>
    <row r="63" spans="1:18" s="1942" customFormat="1" ht="15.75" thickBot="1">
      <c r="A63" s="1578" t="s">
        <v>1880</v>
      </c>
      <c r="B63" s="774" t="s">
        <v>670</v>
      </c>
      <c r="C63" s="53">
        <f ca="1">ROUND(C56*F63,1)</f>
        <v>0</v>
      </c>
      <c r="D63" s="2481" t="s">
        <v>1794</v>
      </c>
      <c r="E63" s="774" t="s">
        <v>1738</v>
      </c>
      <c r="F63" s="806">
        <f t="shared" ca="1" si="0"/>
        <v>0</v>
      </c>
      <c r="I63" s="2824" t="s">
        <v>2350</v>
      </c>
      <c r="J63" s="2825">
        <v>70</v>
      </c>
      <c r="K63" s="2825">
        <v>50</v>
      </c>
      <c r="L63" s="2825">
        <v>80</v>
      </c>
      <c r="M63" s="2827">
        <v>0.02</v>
      </c>
      <c r="O63" s="2253" t="s">
        <v>2371</v>
      </c>
      <c r="P63" s="2254" t="s">
        <v>2388</v>
      </c>
      <c r="Q63" s="2255" t="e">
        <f ca="1">Q57+Q58</f>
        <v>#DIV/0!</v>
      </c>
      <c r="R63" s="2258" t="s">
        <v>2372</v>
      </c>
    </row>
    <row r="64" spans="1:18" s="1942" customFormat="1" ht="16.5" thickBot="1">
      <c r="A64" s="1578" t="s">
        <v>1881</v>
      </c>
      <c r="B64" s="774" t="s">
        <v>673</v>
      </c>
      <c r="C64" s="53">
        <f ca="1">ROUND(C55*F64,1)</f>
        <v>0</v>
      </c>
      <c r="D64" s="2481" t="s">
        <v>674</v>
      </c>
      <c r="E64" s="774" t="s">
        <v>1738</v>
      </c>
      <c r="F64" s="807">
        <f t="shared" ca="1" si="0"/>
        <v>0</v>
      </c>
      <c r="I64" s="2824" t="s">
        <v>2351</v>
      </c>
      <c r="J64" s="2825">
        <v>50</v>
      </c>
      <c r="K64" s="2825">
        <v>35</v>
      </c>
      <c r="L64" s="2825">
        <v>60</v>
      </c>
      <c r="M64" s="835">
        <v>0</v>
      </c>
      <c r="O64" s="2259" t="s">
        <v>2395</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2352</v>
      </c>
      <c r="J65" s="2825">
        <v>40</v>
      </c>
      <c r="K65" s="2825">
        <v>30</v>
      </c>
      <c r="L65" s="2825">
        <v>50</v>
      </c>
      <c r="M65" s="2827">
        <v>0.02</v>
      </c>
      <c r="O65" s="2250" t="s">
        <v>2355</v>
      </c>
      <c r="P65" s="2251" t="s">
        <v>2356</v>
      </c>
      <c r="Q65" s="2252" t="s">
        <v>2357</v>
      </c>
      <c r="R65" s="2251" t="s">
        <v>2358</v>
      </c>
    </row>
    <row r="66" spans="1:18" s="1942" customFormat="1" ht="24.75" thickBot="1">
      <c r="A66" s="787" t="s">
        <v>1767</v>
      </c>
      <c r="B66" s="2724" t="s">
        <v>2797</v>
      </c>
      <c r="C66" s="789">
        <f ca="1">C47-C57</f>
        <v>0</v>
      </c>
      <c r="D66" s="2480" t="s">
        <v>694</v>
      </c>
      <c r="E66" s="2479"/>
      <c r="F66" s="809"/>
      <c r="K66" s="1968"/>
      <c r="O66" s="2253" t="s">
        <v>2359</v>
      </c>
      <c r="P66" s="2254" t="s">
        <v>2389</v>
      </c>
      <c r="Q66" s="2255" t="e">
        <f ca="1">C40+J29</f>
        <v>#DIV/0!</v>
      </c>
      <c r="R66" s="2254" t="s">
        <v>2360</v>
      </c>
    </row>
    <row r="67" spans="1:18" s="1942" customFormat="1" ht="20.25" thickBot="1">
      <c r="A67" s="771" t="s">
        <v>1771</v>
      </c>
      <c r="B67" s="2112" t="s">
        <v>2286</v>
      </c>
      <c r="C67" s="773" t="e">
        <f ca="1">ROUND(C66*(1-((1+F69)/(1+F67))^F68)/(F67-F69),0)</f>
        <v>#DIV/0!</v>
      </c>
      <c r="D67" s="803" t="s">
        <v>698</v>
      </c>
      <c r="E67" s="774" t="s">
        <v>699</v>
      </c>
      <c r="F67" s="784">
        <f ca="1">F40</f>
        <v>0</v>
      </c>
      <c r="K67" s="1968"/>
      <c r="O67" s="2253" t="s">
        <v>2361</v>
      </c>
      <c r="P67" s="2254" t="s">
        <v>2392</v>
      </c>
      <c r="Q67" s="2255" t="e">
        <f ca="1">L60</f>
        <v>#DIV/0!</v>
      </c>
      <c r="R67" s="2258" t="s">
        <v>2394</v>
      </c>
    </row>
    <row r="68" spans="1:18" ht="21.75" thickBot="1">
      <c r="A68" s="776"/>
      <c r="B68" s="777"/>
      <c r="C68" s="778"/>
      <c r="D68" s="810" t="s">
        <v>1799</v>
      </c>
      <c r="E68" s="774" t="s">
        <v>1775</v>
      </c>
      <c r="F68" s="811">
        <f ca="1">F41</f>
        <v>0</v>
      </c>
      <c r="O68" s="2256" t="s">
        <v>2363</v>
      </c>
      <c r="P68" s="2254" t="s">
        <v>2393</v>
      </c>
      <c r="Q68" s="2260">
        <f ca="1">L51</f>
        <v>0</v>
      </c>
      <c r="R68" s="2261" t="s">
        <v>2396</v>
      </c>
    </row>
    <row r="69" spans="1:18" ht="20.25" thickBot="1">
      <c r="A69" s="780"/>
      <c r="B69" s="781"/>
      <c r="C69" s="782"/>
      <c r="D69" s="805"/>
      <c r="E69" s="774" t="s">
        <v>704</v>
      </c>
      <c r="F69" s="2226"/>
      <c r="O69" s="2256" t="s">
        <v>2364</v>
      </c>
      <c r="P69" s="2262" t="s">
        <v>2378</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2379</v>
      </c>
      <c r="P70" s="2262" t="s">
        <v>2380</v>
      </c>
      <c r="Q70" s="2255">
        <f ca="1">C39</f>
        <v>0</v>
      </c>
      <c r="R70" s="2254" t="s">
        <v>2360</v>
      </c>
    </row>
    <row r="71" spans="1:18" ht="15.75" thickBot="1">
      <c r="O71" s="2256" t="s">
        <v>2381</v>
      </c>
      <c r="P71" s="2262" t="s">
        <v>2382</v>
      </c>
      <c r="Q71" s="2255">
        <f ca="1">C13</f>
        <v>0</v>
      </c>
      <c r="R71" s="2254" t="s">
        <v>2360</v>
      </c>
    </row>
    <row r="72" spans="1:18" ht="15.75" thickBot="1">
      <c r="O72" s="2256" t="s">
        <v>2383</v>
      </c>
      <c r="P72" s="2262" t="s">
        <v>2384</v>
      </c>
      <c r="Q72" s="2257">
        <f ca="1">J36</f>
        <v>0</v>
      </c>
      <c r="R72" s="2258"/>
    </row>
    <row r="73" spans="1:18" ht="15.75" thickBot="1">
      <c r="O73" s="2256" t="s">
        <v>2366</v>
      </c>
      <c r="P73" s="2254" t="s">
        <v>2373</v>
      </c>
      <c r="Q73" s="2257">
        <f>L52</f>
        <v>0</v>
      </c>
      <c r="R73" s="2258"/>
    </row>
    <row r="74" spans="1:18" ht="20.25" thickBot="1">
      <c r="O74" s="2256" t="s">
        <v>2368</v>
      </c>
      <c r="P74" s="2254" t="s">
        <v>2374</v>
      </c>
      <c r="Q74" s="2255" t="e">
        <f ca="1">L58</f>
        <v>#DIV/0!</v>
      </c>
      <c r="R74" s="2258" t="s">
        <v>2375</v>
      </c>
    </row>
    <row r="75" spans="1:18" ht="15.75" thickBot="1">
      <c r="O75" s="2256" t="s">
        <v>2397</v>
      </c>
      <c r="P75" s="2254" t="str">
        <f>K59</f>
        <v>建筑物剩余耐用年限下的土地年期修正系数Kn</v>
      </c>
      <c r="Q75" s="2255" t="e">
        <f ca="1">L59</f>
        <v>#DIV/0!</v>
      </c>
      <c r="R75" s="2258" t="s">
        <v>2377</v>
      </c>
    </row>
    <row r="76" spans="1:18" ht="15.75" thickBot="1">
      <c r="O76" s="2253" t="s">
        <v>2371</v>
      </c>
      <c r="P76" s="2254" t="s">
        <v>2388</v>
      </c>
      <c r="Q76" s="2255" t="e">
        <f ca="1">Q66+Q67</f>
        <v>#DIV/0!</v>
      </c>
      <c r="R76" s="2258" t="s">
        <v>2372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4" t="s">
        <v>2448</v>
      </c>
      <c r="B1" s="3605"/>
      <c r="C1" s="3606"/>
      <c r="D1" s="3607">
        <f>SUM(I10,I15,I20,I21,I23)</f>
        <v>0</v>
      </c>
      <c r="E1" s="3607"/>
      <c r="F1" s="3607"/>
      <c r="G1" s="3607"/>
      <c r="H1" s="3607"/>
      <c r="I1" s="3608"/>
    </row>
    <row r="2" spans="1:9">
      <c r="A2" s="3609" t="s">
        <v>2449</v>
      </c>
      <c r="B2" s="3610" t="s">
        <v>2450</v>
      </c>
      <c r="C2" s="3610"/>
      <c r="D2" s="2360" t="s">
        <v>2451</v>
      </c>
      <c r="E2" s="2360" t="s">
        <v>2452</v>
      </c>
      <c r="F2" s="2360" t="s">
        <v>2453</v>
      </c>
      <c r="G2" s="2360" t="s">
        <v>2454</v>
      </c>
      <c r="H2" s="2360" t="s">
        <v>2455</v>
      </c>
      <c r="I2" s="2361" t="s">
        <v>2456</v>
      </c>
    </row>
    <row r="3" spans="1:9">
      <c r="A3" s="3609"/>
      <c r="B3" s="3610" t="s">
        <v>2457</v>
      </c>
      <c r="C3" s="3610"/>
      <c r="D3" s="2362"/>
      <c r="E3" s="2360"/>
      <c r="F3" s="2363"/>
      <c r="G3" s="2363"/>
      <c r="H3" s="2364"/>
      <c r="I3" s="2365">
        <f>ROUND(D3*E3*F3*G3*H3/10000,0)</f>
        <v>0</v>
      </c>
    </row>
    <row r="4" spans="1:9">
      <c r="A4" s="3609"/>
      <c r="B4" s="3610" t="s">
        <v>2458</v>
      </c>
      <c r="C4" s="3610"/>
      <c r="D4" s="2362"/>
      <c r="E4" s="2360"/>
      <c r="F4" s="2363"/>
      <c r="G4" s="2363"/>
      <c r="H4" s="2364"/>
      <c r="I4" s="2365">
        <f t="shared" ref="I4:I9" si="0">ROUND(D4*E4*F4*G4*H4/10000,0)</f>
        <v>0</v>
      </c>
    </row>
    <row r="5" spans="1:9">
      <c r="A5" s="3609"/>
      <c r="B5" s="3610" t="s">
        <v>2459</v>
      </c>
      <c r="C5" s="3610"/>
      <c r="D5" s="2362"/>
      <c r="E5" s="2360"/>
      <c r="F5" s="2363"/>
      <c r="G5" s="2363"/>
      <c r="H5" s="2364"/>
      <c r="I5" s="2365">
        <f t="shared" si="0"/>
        <v>0</v>
      </c>
    </row>
    <row r="6" spans="1:9">
      <c r="A6" s="3609"/>
      <c r="B6" s="3610" t="s">
        <v>2460</v>
      </c>
      <c r="C6" s="3610"/>
      <c r="D6" s="2362"/>
      <c r="E6" s="2360"/>
      <c r="F6" s="2363"/>
      <c r="G6" s="2363"/>
      <c r="H6" s="2364"/>
      <c r="I6" s="2365">
        <f t="shared" si="0"/>
        <v>0</v>
      </c>
    </row>
    <row r="7" spans="1:9">
      <c r="A7" s="3609"/>
      <c r="B7" s="3610" t="s">
        <v>2461</v>
      </c>
      <c r="C7" s="3610"/>
      <c r="D7" s="2362"/>
      <c r="E7" s="2360"/>
      <c r="F7" s="2363"/>
      <c r="G7" s="2363"/>
      <c r="H7" s="2364"/>
      <c r="I7" s="2365">
        <f t="shared" si="0"/>
        <v>0</v>
      </c>
    </row>
    <row r="8" spans="1:9">
      <c r="A8" s="3609"/>
      <c r="B8" s="3610" t="s">
        <v>2462</v>
      </c>
      <c r="C8" s="3610"/>
      <c r="D8" s="2362"/>
      <c r="E8" s="2360"/>
      <c r="F8" s="2363"/>
      <c r="G8" s="2363"/>
      <c r="H8" s="2364"/>
      <c r="I8" s="2365">
        <f t="shared" si="0"/>
        <v>0</v>
      </c>
    </row>
    <row r="9" spans="1:9">
      <c r="A9" s="3609"/>
      <c r="B9" s="3610" t="s">
        <v>2463</v>
      </c>
      <c r="C9" s="3610"/>
      <c r="D9" s="2362"/>
      <c r="E9" s="2360"/>
      <c r="F9" s="2363"/>
      <c r="G9" s="2363"/>
      <c r="H9" s="2364"/>
      <c r="I9" s="2365">
        <f t="shared" si="0"/>
        <v>0</v>
      </c>
    </row>
    <row r="10" spans="1:9">
      <c r="A10" s="3609"/>
      <c r="B10" s="3611" t="s">
        <v>2464</v>
      </c>
      <c r="C10" s="3611"/>
      <c r="D10" s="2366">
        <v>527</v>
      </c>
      <c r="E10" s="2366" t="e">
        <f>ROUND(D1*10000/D10/H9,0)</f>
        <v>#DIV/0!</v>
      </c>
      <c r="F10" s="2367"/>
      <c r="G10" s="2367"/>
      <c r="H10" s="2368"/>
      <c r="I10" s="2369">
        <f>SUM(I3:I9)</f>
        <v>0</v>
      </c>
    </row>
    <row r="11" spans="1:9" ht="14.25">
      <c r="A11" s="3609" t="s">
        <v>2465</v>
      </c>
      <c r="B11" s="3610" t="s">
        <v>2466</v>
      </c>
      <c r="C11" s="3610"/>
      <c r="D11" s="2362" t="s">
        <v>2467</v>
      </c>
      <c r="E11" s="2362" t="s">
        <v>2468</v>
      </c>
      <c r="F11" s="2363" t="s">
        <v>2469</v>
      </c>
      <c r="G11" s="2363" t="s">
        <v>2470</v>
      </c>
      <c r="H11" s="2370" t="s">
        <v>2471</v>
      </c>
      <c r="I11" s="2361" t="s">
        <v>2472</v>
      </c>
    </row>
    <row r="12" spans="1:9">
      <c r="A12" s="3609"/>
      <c r="B12" s="3610" t="s">
        <v>2473</v>
      </c>
      <c r="C12" s="3610"/>
      <c r="D12" s="2362"/>
      <c r="E12" s="2362"/>
      <c r="F12" s="2363"/>
      <c r="G12" s="2364"/>
      <c r="H12" s="2371"/>
      <c r="I12" s="2361">
        <f>ROUND(D12*E12*F12*G12/10000,0)</f>
        <v>0</v>
      </c>
    </row>
    <row r="13" spans="1:9">
      <c r="A13" s="3609"/>
      <c r="B13" s="3610" t="s">
        <v>2474</v>
      </c>
      <c r="C13" s="3610"/>
      <c r="D13" s="2362"/>
      <c r="E13" s="2362"/>
      <c r="F13" s="2363"/>
      <c r="G13" s="2364"/>
      <c r="H13" s="2371"/>
      <c r="I13" s="2361">
        <f>ROUND(D13*E13*F13*G13/10000,0)</f>
        <v>0</v>
      </c>
    </row>
    <row r="14" spans="1:9">
      <c r="A14" s="3609"/>
      <c r="B14" s="3610" t="s">
        <v>2475</v>
      </c>
      <c r="C14" s="3610"/>
      <c r="D14" s="2362"/>
      <c r="E14" s="2362"/>
      <c r="F14" s="2363"/>
      <c r="G14" s="2364"/>
      <c r="H14" s="2371"/>
      <c r="I14" s="2361">
        <f>ROUND(D14*E14*F14*G14/10000,0)</f>
        <v>0</v>
      </c>
    </row>
    <row r="15" spans="1:9">
      <c r="A15" s="3609"/>
      <c r="B15" s="3611" t="s">
        <v>2464</v>
      </c>
      <c r="C15" s="3611"/>
      <c r="D15" s="2366"/>
      <c r="E15" s="2366">
        <f>SUM(E12:E14)</f>
        <v>0</v>
      </c>
      <c r="F15" s="2367"/>
      <c r="G15" s="2364"/>
      <c r="H15" s="2371"/>
      <c r="I15" s="2372">
        <f>SUM(I12:I14)</f>
        <v>0</v>
      </c>
    </row>
    <row r="16" spans="1:9" ht="24">
      <c r="A16" s="3609" t="s">
        <v>2476</v>
      </c>
      <c r="B16" s="3610" t="s">
        <v>2477</v>
      </c>
      <c r="C16" s="3610"/>
      <c r="D16" s="2362" t="s">
        <v>2478</v>
      </c>
      <c r="E16" s="2373" t="s">
        <v>2479</v>
      </c>
      <c r="F16" s="2363" t="s">
        <v>2480</v>
      </c>
      <c r="G16" s="2364" t="s">
        <v>2470</v>
      </c>
      <c r="H16" s="2370" t="s">
        <v>2471</v>
      </c>
      <c r="I16" s="2361" t="s">
        <v>2472</v>
      </c>
    </row>
    <row r="17" spans="1:9" ht="14.25">
      <c r="A17" s="3609"/>
      <c r="B17" s="3610" t="s">
        <v>2481</v>
      </c>
      <c r="C17" s="3610"/>
      <c r="D17" s="2362"/>
      <c r="E17" s="2362"/>
      <c r="F17" s="2363"/>
      <c r="G17" s="2364"/>
      <c r="H17" s="2374"/>
      <c r="I17" s="2375">
        <f>ROUND(D17*E17*F17*G17/10000,0)</f>
        <v>0</v>
      </c>
    </row>
    <row r="18" spans="1:9" ht="14.25">
      <c r="A18" s="3609"/>
      <c r="B18" s="3610" t="s">
        <v>2482</v>
      </c>
      <c r="C18" s="3610"/>
      <c r="D18" s="2362"/>
      <c r="E18" s="2362"/>
      <c r="F18" s="2363"/>
      <c r="G18" s="2364"/>
      <c r="H18" s="2374"/>
      <c r="I18" s="2375">
        <f>ROUND(D18*E18*F18*G18/10000,0)</f>
        <v>0</v>
      </c>
    </row>
    <row r="19" spans="1:9" ht="14.25">
      <c r="A19" s="3609"/>
      <c r="B19" s="3610" t="s">
        <v>2483</v>
      </c>
      <c r="C19" s="3610"/>
      <c r="D19" s="2362"/>
      <c r="E19" s="2362"/>
      <c r="F19" s="2363"/>
      <c r="G19" s="2364"/>
      <c r="H19" s="2374"/>
      <c r="I19" s="2375">
        <f>ROUND(D19*E19*F19*G19/10000,0)</f>
        <v>0</v>
      </c>
    </row>
    <row r="20" spans="1:9">
      <c r="A20" s="3609"/>
      <c r="B20" s="3611" t="s">
        <v>2464</v>
      </c>
      <c r="C20" s="3611"/>
      <c r="D20" s="2366">
        <f>SUM(D17:D19)</f>
        <v>0</v>
      </c>
      <c r="E20" s="2366"/>
      <c r="F20" s="2367"/>
      <c r="G20" s="2364"/>
      <c r="H20" s="2371"/>
      <c r="I20" s="2372">
        <f>SUM(I17:I19)</f>
        <v>0</v>
      </c>
    </row>
    <row r="21" spans="1:9">
      <c r="A21" s="3609" t="s">
        <v>2484</v>
      </c>
      <c r="B21" s="3613"/>
      <c r="C21" s="3613"/>
      <c r="D21" s="3613"/>
      <c r="E21" s="3613"/>
      <c r="F21" s="3613"/>
      <c r="G21" s="3613"/>
      <c r="H21" s="2376">
        <v>0.1</v>
      </c>
      <c r="I21" s="2369">
        <f>ROUND(I10*H21,0)</f>
        <v>0</v>
      </c>
    </row>
    <row r="22" spans="1:9" ht="14.25">
      <c r="A22" s="3614" t="s">
        <v>2485</v>
      </c>
      <c r="B22" s="3615"/>
      <c r="C22" s="3616"/>
      <c r="D22" s="2377" t="s">
        <v>2486</v>
      </c>
      <c r="E22" s="2377" t="s">
        <v>2487</v>
      </c>
      <c r="F22" s="2378" t="s">
        <v>2488</v>
      </c>
      <c r="G22" s="2378" t="s">
        <v>2489</v>
      </c>
      <c r="H22" s="2370" t="s">
        <v>2490</v>
      </c>
      <c r="I22" s="2361" t="s">
        <v>2491</v>
      </c>
    </row>
    <row r="23" spans="1:9" ht="14.25" thickBot="1">
      <c r="A23" s="3617"/>
      <c r="B23" s="3618"/>
      <c r="C23" s="3619"/>
      <c r="D23" s="2379"/>
      <c r="E23" s="2379"/>
      <c r="F23" s="2379"/>
      <c r="G23" s="2380"/>
      <c r="H23" s="2381"/>
      <c r="I23" s="2382">
        <f>ROUND(E23*D23*F23*(1-G23)/10000,0)</f>
        <v>0</v>
      </c>
    </row>
    <row r="26" spans="1:9">
      <c r="A26" s="2383" t="s">
        <v>2492</v>
      </c>
      <c r="B26" s="2383"/>
      <c r="C26" s="2383"/>
      <c r="D26" s="2383"/>
      <c r="E26" s="3620">
        <f>C27-C30-C31-C32</f>
        <v>0</v>
      </c>
      <c r="F26" s="3620"/>
      <c r="G26" s="3620"/>
      <c r="H26" s="2756" t="s">
        <v>2818</v>
      </c>
    </row>
    <row r="27" spans="1:9">
      <c r="A27" s="2384">
        <v>1</v>
      </c>
      <c r="B27" s="2385" t="s">
        <v>2493</v>
      </c>
      <c r="C27" s="2385"/>
      <c r="D27" s="2385"/>
      <c r="E27" s="3621"/>
      <c r="F27" s="3621"/>
      <c r="G27" s="3621"/>
    </row>
    <row r="28" spans="1:9">
      <c r="A28" s="2386" t="s">
        <v>2494</v>
      </c>
      <c r="B28" s="2385" t="s">
        <v>2495</v>
      </c>
      <c r="C28" s="2385"/>
      <c r="D28" s="2385"/>
      <c r="E28" s="3621"/>
      <c r="F28" s="3621"/>
      <c r="G28" s="3621"/>
    </row>
    <row r="29" spans="1:9">
      <c r="A29" s="2386" t="s">
        <v>2496</v>
      </c>
      <c r="B29" s="2385" t="s">
        <v>2437</v>
      </c>
      <c r="C29" s="2385"/>
      <c r="D29" s="2385"/>
      <c r="E29" s="2385" t="s">
        <v>2497</v>
      </c>
      <c r="F29" s="2385"/>
      <c r="G29" s="2385"/>
    </row>
    <row r="30" spans="1:9">
      <c r="A30" s="2384">
        <v>2</v>
      </c>
      <c r="B30" s="2385" t="s">
        <v>2498</v>
      </c>
      <c r="C30" s="2385">
        <f>C27*D30</f>
        <v>0</v>
      </c>
      <c r="D30" s="2387">
        <v>0.2</v>
      </c>
      <c r="E30" s="2385" t="s">
        <v>2499</v>
      </c>
      <c r="F30" s="2385"/>
      <c r="G30" s="2385"/>
    </row>
    <row r="31" spans="1:9">
      <c r="A31" s="2384">
        <v>3</v>
      </c>
      <c r="B31" s="2385" t="s">
        <v>2500</v>
      </c>
      <c r="C31" s="2385">
        <f>C25*D31</f>
        <v>0</v>
      </c>
      <c r="D31" s="2387">
        <v>0.15</v>
      </c>
      <c r="E31" s="2385" t="s">
        <v>2501</v>
      </c>
      <c r="F31" s="2385"/>
      <c r="G31" s="2385"/>
    </row>
    <row r="32" spans="1:9">
      <c r="A32" s="2384">
        <v>4</v>
      </c>
      <c r="B32" s="2385" t="s">
        <v>2502</v>
      </c>
      <c r="C32" s="2385">
        <f>C27*D32</f>
        <v>0</v>
      </c>
      <c r="D32" s="2387">
        <v>0.05</v>
      </c>
      <c r="E32" s="3612"/>
      <c r="F32" s="3612"/>
      <c r="G32" s="3612"/>
    </row>
    <row r="33" spans="1:7" hidden="1">
      <c r="A33" s="3622" t="s">
        <v>2503</v>
      </c>
      <c r="B33" s="3623"/>
      <c r="C33" s="3623"/>
      <c r="D33" s="3624"/>
      <c r="E33" s="3620"/>
      <c r="F33" s="3620"/>
      <c r="G33" s="3620"/>
    </row>
    <row r="34" spans="1:7" hidden="1">
      <c r="A34" s="2388">
        <v>1</v>
      </c>
      <c r="B34" s="2385" t="s">
        <v>2504</v>
      </c>
      <c r="C34" s="2385"/>
      <c r="D34" s="2385"/>
      <c r="E34" s="3621"/>
      <c r="F34" s="3621"/>
      <c r="G34" s="3621"/>
    </row>
    <row r="35" spans="1:7" hidden="1">
      <c r="A35" s="2388">
        <v>2</v>
      </c>
      <c r="B35" s="2385" t="s">
        <v>2505</v>
      </c>
      <c r="C35" s="2385"/>
      <c r="D35" s="2385"/>
      <c r="E35" s="3621"/>
      <c r="F35" s="3621"/>
      <c r="G35" s="3621"/>
    </row>
    <row r="36" spans="1:7" hidden="1">
      <c r="A36" s="2388">
        <v>3</v>
      </c>
      <c r="B36" s="2385" t="s">
        <v>2506</v>
      </c>
      <c r="C36" s="2385"/>
      <c r="D36" s="2385"/>
      <c r="E36" s="3621"/>
      <c r="F36" s="3621"/>
      <c r="G36" s="3621"/>
    </row>
    <row r="37" spans="1:7" hidden="1">
      <c r="A37" s="2388">
        <v>4</v>
      </c>
      <c r="B37" s="2385" t="s">
        <v>2507</v>
      </c>
      <c r="C37" s="2385"/>
      <c r="D37" s="2385"/>
      <c r="E37" s="3621"/>
      <c r="F37" s="3621"/>
      <c r="G37" s="3621"/>
    </row>
    <row r="38" spans="1:7" hidden="1">
      <c r="A38" s="3622" t="s">
        <v>2508</v>
      </c>
      <c r="B38" s="3623"/>
      <c r="C38" s="3623"/>
      <c r="D38" s="3624"/>
      <c r="E38" s="3620"/>
      <c r="F38" s="3620"/>
      <c r="G38" s="36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5"/>
      <c r="D2" s="3265"/>
      <c r="E2" s="3265"/>
      <c r="F2" s="3265"/>
      <c r="G2" s="3265"/>
    </row>
    <row r="3" spans="1:25" s="1942" customFormat="1" ht="18" customHeight="1">
      <c r="A3" s="1331" t="s">
        <v>1676</v>
      </c>
      <c r="B3" s="419">
        <f ca="1">ROUND(B2*10000/'数据-汇总表'!E3,0)</f>
        <v>0</v>
      </c>
      <c r="C3" s="3265"/>
      <c r="D3" s="3265"/>
      <c r="E3" s="3265"/>
      <c r="F3" s="3265"/>
      <c r="G3" s="3265"/>
    </row>
    <row r="4" spans="1:25" s="1942" customFormat="1" ht="18" customHeight="1">
      <c r="A4" s="420" t="s">
        <v>462</v>
      </c>
      <c r="B4" s="421">
        <f ca="1">ROUND(B2*10000/'数据-汇总表'!D3,0)</f>
        <v>0</v>
      </c>
      <c r="C4" s="3218"/>
      <c r="D4" s="3265"/>
      <c r="E4" s="3265"/>
      <c r="F4" s="3265"/>
      <c r="G4" s="3265"/>
    </row>
    <row r="5" spans="1:25" s="1942" customFormat="1" ht="18" customHeight="1" thickBot="1">
      <c r="A5" s="423"/>
      <c r="B5" s="424">
        <f ca="1">ROUND(B2/('数据-汇总表'!D3/666.67),0)</f>
        <v>0</v>
      </c>
      <c r="C5" s="425" t="s">
        <v>463</v>
      </c>
      <c r="D5" s="3265"/>
      <c r="E5" s="3265"/>
      <c r="F5" s="3265"/>
      <c r="G5" s="3265"/>
    </row>
    <row r="6" spans="1:25" s="2064" customFormat="1" ht="13.5" customHeight="1">
      <c r="A6" s="735"/>
      <c r="B6" s="736" t="s">
        <v>598</v>
      </c>
      <c r="C6" s="737" t="s">
        <v>599</v>
      </c>
      <c r="D6" s="737" t="s">
        <v>600</v>
      </c>
      <c r="E6" s="738" t="s">
        <v>601</v>
      </c>
      <c r="F6" s="738" t="s">
        <v>602</v>
      </c>
      <c r="G6" s="3264" t="s">
        <v>2981</v>
      </c>
    </row>
    <row r="7" spans="1:25" s="2064" customFormat="1" ht="13.5" customHeight="1">
      <c r="A7" s="2323">
        <v>1</v>
      </c>
      <c r="B7" s="739" t="s">
        <v>603</v>
      </c>
      <c r="C7" s="740">
        <f>C8+C9</f>
        <v>0</v>
      </c>
      <c r="D7" s="740"/>
      <c r="E7" s="741"/>
      <c r="F7" s="741"/>
      <c r="G7" s="2332"/>
    </row>
    <row r="8" spans="1:25" s="2064" customFormat="1" ht="13.5" customHeight="1">
      <c r="A8" s="2323" t="s">
        <v>2418</v>
      </c>
      <c r="B8" s="2326" t="s">
        <v>2420</v>
      </c>
      <c r="C8" s="3268">
        <f t="shared" ref="C8:C9" si="0">ROUND(D8*E8/10000,0)</f>
        <v>0</v>
      </c>
      <c r="D8" s="3268">
        <v>0</v>
      </c>
      <c r="E8" s="3269">
        <v>0</v>
      </c>
      <c r="F8" s="741"/>
      <c r="G8" s="742"/>
    </row>
    <row r="9" spans="1:25" s="2064" customFormat="1" ht="13.5" customHeight="1">
      <c r="A9" s="2323" t="s">
        <v>2419</v>
      </c>
      <c r="B9" s="2326" t="s">
        <v>2421</v>
      </c>
      <c r="C9" s="3268">
        <f t="shared" si="0"/>
        <v>0</v>
      </c>
      <c r="D9" s="3268">
        <v>0</v>
      </c>
      <c r="E9" s="3269">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2418</v>
      </c>
      <c r="B11" s="743" t="s">
        <v>604</v>
      </c>
      <c r="C11" s="744">
        <f>'数据-取费表'!B29</f>
        <v>0</v>
      </c>
      <c r="D11" s="745"/>
      <c r="E11" s="744"/>
      <c r="F11" s="746"/>
      <c r="G11" s="2331" t="s">
        <v>2429</v>
      </c>
    </row>
    <row r="12" spans="1:25" s="2064" customFormat="1" ht="13.5" customHeight="1">
      <c r="A12" s="2329" t="s">
        <v>2426</v>
      </c>
      <c r="B12" s="747" t="s">
        <v>605</v>
      </c>
      <c r="C12" s="748">
        <f>ROUND(D12*E12/10000,0)</f>
        <v>151</v>
      </c>
      <c r="D12" s="3268">
        <f>'数据-汇总表'!E5</f>
        <v>37819.53</v>
      </c>
      <c r="E12" s="3268">
        <f>'数据-取费表'!B27</f>
        <v>40</v>
      </c>
      <c r="F12" s="746"/>
      <c r="G12" s="749"/>
    </row>
    <row r="13" spans="1:25" s="2064" customFormat="1" ht="13.5" customHeight="1">
      <c r="A13" s="2329" t="s">
        <v>2425</v>
      </c>
      <c r="B13" s="747" t="s">
        <v>606</v>
      </c>
      <c r="C13" s="748">
        <f>ROUND(D13*E13/10000,0)</f>
        <v>0</v>
      </c>
      <c r="D13" s="3268">
        <f>'数据-汇总表'!E6</f>
        <v>0</v>
      </c>
      <c r="E13" s="3268">
        <f>'数据-取费表'!B28</f>
        <v>40</v>
      </c>
      <c r="F13" s="746"/>
      <c r="G13" s="749"/>
    </row>
    <row r="14" spans="1:25" s="2064" customFormat="1" ht="13.5" customHeight="1">
      <c r="A14" s="2323" t="s">
        <v>2419</v>
      </c>
      <c r="B14" s="2328" t="s">
        <v>2422</v>
      </c>
      <c r="C14" s="3270">
        <f t="shared" ref="C14:C15" si="1">ROUND(D14*E14/10000,0)</f>
        <v>0</v>
      </c>
      <c r="D14" s="3268">
        <v>0</v>
      </c>
      <c r="E14" s="3269">
        <v>0</v>
      </c>
      <c r="F14" s="2327"/>
      <c r="G14" s="2330" t="s">
        <v>2427</v>
      </c>
    </row>
    <row r="15" spans="1:25" s="2064" customFormat="1" ht="13.5" customHeight="1">
      <c r="A15" s="2323" t="s">
        <v>2424</v>
      </c>
      <c r="B15" s="2328" t="s">
        <v>2423</v>
      </c>
      <c r="C15" s="3270">
        <f t="shared" si="1"/>
        <v>0</v>
      </c>
      <c r="D15" s="3268">
        <v>0</v>
      </c>
      <c r="E15" s="3269">
        <v>0</v>
      </c>
      <c r="F15" s="2327"/>
      <c r="G15" s="2330" t="s">
        <v>2428</v>
      </c>
    </row>
    <row r="16" spans="1:25" s="2065" customFormat="1" ht="48">
      <c r="A16" s="2323">
        <v>3</v>
      </c>
      <c r="B16" s="739" t="s">
        <v>609</v>
      </c>
      <c r="C16" s="3270">
        <f t="shared" ref="C16" si="2">ROUND(D16*E16/10000,0)</f>
        <v>0</v>
      </c>
      <c r="D16" s="3268">
        <v>0</v>
      </c>
      <c r="E16" s="3269">
        <v>0</v>
      </c>
      <c r="F16" s="751"/>
      <c r="G16" s="749" t="s">
        <v>2430</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0.96699999999999997</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dimension ref="A1:Q101"/>
  <sheetViews>
    <sheetView workbookViewId="0">
      <selection activeCell="A29" sqref="A29:XFD29"/>
    </sheetView>
  </sheetViews>
  <sheetFormatPr defaultRowHeight="13.5"/>
  <cols>
    <col min="1" max="1" width="37.125" style="3313" customWidth="1"/>
    <col min="2" max="2" width="7.125" style="3312" bestFit="1" customWidth="1"/>
    <col min="3" max="3" width="11" style="3312" customWidth="1"/>
    <col min="4" max="4" width="9" style="3312" customWidth="1"/>
    <col min="5" max="5" width="10" style="3312" customWidth="1"/>
    <col min="6" max="6" width="11.375" style="3313" hidden="1" customWidth="1"/>
    <col min="7" max="7" width="6.75" style="3312" customWidth="1"/>
    <col min="8" max="8" width="9" style="3312" customWidth="1"/>
    <col min="9" max="9" width="9.75" style="3312" hidden="1" customWidth="1"/>
    <col min="10" max="10" width="11.625" style="3312" hidden="1" customWidth="1"/>
    <col min="11" max="11" width="11.625" style="3312" customWidth="1"/>
    <col min="12" max="12" width="7.125" style="3312" customWidth="1"/>
    <col min="13" max="13" width="6.25" style="3312" customWidth="1"/>
    <col min="14" max="14" width="11.375" style="3312" customWidth="1"/>
    <col min="15" max="15" width="7.125" style="3312" bestFit="1" customWidth="1"/>
    <col min="16" max="16" width="35.875" style="3312" bestFit="1" customWidth="1"/>
    <col min="17" max="17" width="9" style="3312" bestFit="1" customWidth="1"/>
    <col min="18" max="257" width="9" style="2656"/>
    <col min="258" max="258" width="44.125" style="2656" customWidth="1"/>
    <col min="259" max="259" width="6.25" style="2656" customWidth="1"/>
    <col min="260" max="262" width="13.875" style="2656" customWidth="1"/>
    <col min="263" max="263" width="25.375" style="2656" customWidth="1"/>
    <col min="264" max="264" width="7.875" style="2656" customWidth="1"/>
    <col min="265" max="265" width="21.625" style="2656" customWidth="1"/>
    <col min="266" max="267" width="9" style="2656"/>
    <col min="268" max="269" width="10.625" style="2656" customWidth="1"/>
    <col min="270" max="270" width="14.375" style="2656" customWidth="1"/>
    <col min="271" max="271" width="6.25" style="2656" customWidth="1"/>
    <col min="272" max="272" width="29.375" style="2656" customWidth="1"/>
    <col min="273" max="273" width="7.875" style="2656" customWidth="1"/>
    <col min="274" max="513" width="9" style="2656"/>
    <col min="514" max="514" width="44.125" style="2656" customWidth="1"/>
    <col min="515" max="515" width="6.25" style="2656" customWidth="1"/>
    <col min="516" max="518" width="13.875" style="2656" customWidth="1"/>
    <col min="519" max="519" width="25.375" style="2656" customWidth="1"/>
    <col min="520" max="520" width="7.875" style="2656" customWidth="1"/>
    <col min="521" max="521" width="21.625" style="2656" customWidth="1"/>
    <col min="522" max="523" width="9" style="2656"/>
    <col min="524" max="525" width="10.625" style="2656" customWidth="1"/>
    <col min="526" max="526" width="14.375" style="2656" customWidth="1"/>
    <col min="527" max="527" width="6.25" style="2656" customWidth="1"/>
    <col min="528" max="528" width="29.375" style="2656" customWidth="1"/>
    <col min="529" max="529" width="7.875" style="2656" customWidth="1"/>
    <col min="530" max="769" width="9" style="2656"/>
    <col min="770" max="770" width="44.125" style="2656" customWidth="1"/>
    <col min="771" max="771" width="6.25" style="2656" customWidth="1"/>
    <col min="772" max="774" width="13.875" style="2656" customWidth="1"/>
    <col min="775" max="775" width="25.375" style="2656" customWidth="1"/>
    <col min="776" max="776" width="7.875" style="2656" customWidth="1"/>
    <col min="777" max="777" width="21.625" style="2656" customWidth="1"/>
    <col min="778" max="779" width="9" style="2656"/>
    <col min="780" max="781" width="10.625" style="2656" customWidth="1"/>
    <col min="782" max="782" width="14.375" style="2656" customWidth="1"/>
    <col min="783" max="783" width="6.25" style="2656" customWidth="1"/>
    <col min="784" max="784" width="29.375" style="2656" customWidth="1"/>
    <col min="785" max="785" width="7.875" style="2656" customWidth="1"/>
    <col min="786" max="1025" width="9" style="2656"/>
    <col min="1026" max="1026" width="44.125" style="2656" customWidth="1"/>
    <col min="1027" max="1027" width="6.25" style="2656" customWidth="1"/>
    <col min="1028" max="1030" width="13.875" style="2656" customWidth="1"/>
    <col min="1031" max="1031" width="25.375" style="2656" customWidth="1"/>
    <col min="1032" max="1032" width="7.875" style="2656" customWidth="1"/>
    <col min="1033" max="1033" width="21.625" style="2656" customWidth="1"/>
    <col min="1034" max="1035" width="9" style="2656"/>
    <col min="1036" max="1037" width="10.625" style="2656" customWidth="1"/>
    <col min="1038" max="1038" width="14.375" style="2656" customWidth="1"/>
    <col min="1039" max="1039" width="6.25" style="2656" customWidth="1"/>
    <col min="1040" max="1040" width="29.375" style="2656" customWidth="1"/>
    <col min="1041" max="1041" width="7.875" style="2656" customWidth="1"/>
    <col min="1042" max="1281" width="9" style="2656"/>
    <col min="1282" max="1282" width="44.125" style="2656" customWidth="1"/>
    <col min="1283" max="1283" width="6.25" style="2656" customWidth="1"/>
    <col min="1284" max="1286" width="13.875" style="2656" customWidth="1"/>
    <col min="1287" max="1287" width="25.375" style="2656" customWidth="1"/>
    <col min="1288" max="1288" width="7.875" style="2656" customWidth="1"/>
    <col min="1289" max="1289" width="21.625" style="2656" customWidth="1"/>
    <col min="1290" max="1291" width="9" style="2656"/>
    <col min="1292" max="1293" width="10.625" style="2656" customWidth="1"/>
    <col min="1294" max="1294" width="14.375" style="2656" customWidth="1"/>
    <col min="1295" max="1295" width="6.25" style="2656" customWidth="1"/>
    <col min="1296" max="1296" width="29.375" style="2656" customWidth="1"/>
    <col min="1297" max="1297" width="7.875" style="2656" customWidth="1"/>
    <col min="1298" max="1537" width="9" style="2656"/>
    <col min="1538" max="1538" width="44.125" style="2656" customWidth="1"/>
    <col min="1539" max="1539" width="6.25" style="2656" customWidth="1"/>
    <col min="1540" max="1542" width="13.875" style="2656" customWidth="1"/>
    <col min="1543" max="1543" width="25.375" style="2656" customWidth="1"/>
    <col min="1544" max="1544" width="7.875" style="2656" customWidth="1"/>
    <col min="1545" max="1545" width="21.625" style="2656" customWidth="1"/>
    <col min="1546" max="1547" width="9" style="2656"/>
    <col min="1548" max="1549" width="10.625" style="2656" customWidth="1"/>
    <col min="1550" max="1550" width="14.375" style="2656" customWidth="1"/>
    <col min="1551" max="1551" width="6.25" style="2656" customWidth="1"/>
    <col min="1552" max="1552" width="29.375" style="2656" customWidth="1"/>
    <col min="1553" max="1553" width="7.875" style="2656" customWidth="1"/>
    <col min="1554" max="1793" width="9" style="2656"/>
    <col min="1794" max="1794" width="44.125" style="2656" customWidth="1"/>
    <col min="1795" max="1795" width="6.25" style="2656" customWidth="1"/>
    <col min="1796" max="1798" width="13.875" style="2656" customWidth="1"/>
    <col min="1799" max="1799" width="25.375" style="2656" customWidth="1"/>
    <col min="1800" max="1800" width="7.875" style="2656" customWidth="1"/>
    <col min="1801" max="1801" width="21.625" style="2656" customWidth="1"/>
    <col min="1802" max="1803" width="9" style="2656"/>
    <col min="1804" max="1805" width="10.625" style="2656" customWidth="1"/>
    <col min="1806" max="1806" width="14.375" style="2656" customWidth="1"/>
    <col min="1807" max="1807" width="6.25" style="2656" customWidth="1"/>
    <col min="1808" max="1808" width="29.375" style="2656" customWidth="1"/>
    <col min="1809" max="1809" width="7.875" style="2656" customWidth="1"/>
    <col min="1810" max="2049" width="9" style="2656"/>
    <col min="2050" max="2050" width="44.125" style="2656" customWidth="1"/>
    <col min="2051" max="2051" width="6.25" style="2656" customWidth="1"/>
    <col min="2052" max="2054" width="13.875" style="2656" customWidth="1"/>
    <col min="2055" max="2055" width="25.375" style="2656" customWidth="1"/>
    <col min="2056" max="2056" width="7.875" style="2656" customWidth="1"/>
    <col min="2057" max="2057" width="21.625" style="2656" customWidth="1"/>
    <col min="2058" max="2059" width="9" style="2656"/>
    <col min="2060" max="2061" width="10.625" style="2656" customWidth="1"/>
    <col min="2062" max="2062" width="14.375" style="2656" customWidth="1"/>
    <col min="2063" max="2063" width="6.25" style="2656" customWidth="1"/>
    <col min="2064" max="2064" width="29.375" style="2656" customWidth="1"/>
    <col min="2065" max="2065" width="7.875" style="2656" customWidth="1"/>
    <col min="2066" max="2305" width="9" style="2656"/>
    <col min="2306" max="2306" width="44.125" style="2656" customWidth="1"/>
    <col min="2307" max="2307" width="6.25" style="2656" customWidth="1"/>
    <col min="2308" max="2310" width="13.875" style="2656" customWidth="1"/>
    <col min="2311" max="2311" width="25.375" style="2656" customWidth="1"/>
    <col min="2312" max="2312" width="7.875" style="2656" customWidth="1"/>
    <col min="2313" max="2313" width="21.625" style="2656" customWidth="1"/>
    <col min="2314" max="2315" width="9" style="2656"/>
    <col min="2316" max="2317" width="10.625" style="2656" customWidth="1"/>
    <col min="2318" max="2318" width="14.375" style="2656" customWidth="1"/>
    <col min="2319" max="2319" width="6.25" style="2656" customWidth="1"/>
    <col min="2320" max="2320" width="29.375" style="2656" customWidth="1"/>
    <col min="2321" max="2321" width="7.875" style="2656" customWidth="1"/>
    <col min="2322" max="2561" width="9" style="2656"/>
    <col min="2562" max="2562" width="44.125" style="2656" customWidth="1"/>
    <col min="2563" max="2563" width="6.25" style="2656" customWidth="1"/>
    <col min="2564" max="2566" width="13.875" style="2656" customWidth="1"/>
    <col min="2567" max="2567" width="25.375" style="2656" customWidth="1"/>
    <col min="2568" max="2568" width="7.875" style="2656" customWidth="1"/>
    <col min="2569" max="2569" width="21.625" style="2656" customWidth="1"/>
    <col min="2570" max="2571" width="9" style="2656"/>
    <col min="2572" max="2573" width="10.625" style="2656" customWidth="1"/>
    <col min="2574" max="2574" width="14.375" style="2656" customWidth="1"/>
    <col min="2575" max="2575" width="6.25" style="2656" customWidth="1"/>
    <col min="2576" max="2576" width="29.375" style="2656" customWidth="1"/>
    <col min="2577" max="2577" width="7.875" style="2656" customWidth="1"/>
    <col min="2578" max="2817" width="9" style="2656"/>
    <col min="2818" max="2818" width="44.125" style="2656" customWidth="1"/>
    <col min="2819" max="2819" width="6.25" style="2656" customWidth="1"/>
    <col min="2820" max="2822" width="13.875" style="2656" customWidth="1"/>
    <col min="2823" max="2823" width="25.375" style="2656" customWidth="1"/>
    <col min="2824" max="2824" width="7.875" style="2656" customWidth="1"/>
    <col min="2825" max="2825" width="21.625" style="2656" customWidth="1"/>
    <col min="2826" max="2827" width="9" style="2656"/>
    <col min="2828" max="2829" width="10.625" style="2656" customWidth="1"/>
    <col min="2830" max="2830" width="14.375" style="2656" customWidth="1"/>
    <col min="2831" max="2831" width="6.25" style="2656" customWidth="1"/>
    <col min="2832" max="2832" width="29.375" style="2656" customWidth="1"/>
    <col min="2833" max="2833" width="7.875" style="2656" customWidth="1"/>
    <col min="2834" max="3073" width="9" style="2656"/>
    <col min="3074" max="3074" width="44.125" style="2656" customWidth="1"/>
    <col min="3075" max="3075" width="6.25" style="2656" customWidth="1"/>
    <col min="3076" max="3078" width="13.875" style="2656" customWidth="1"/>
    <col min="3079" max="3079" width="25.375" style="2656" customWidth="1"/>
    <col min="3080" max="3080" width="7.875" style="2656" customWidth="1"/>
    <col min="3081" max="3081" width="21.625" style="2656" customWidth="1"/>
    <col min="3082" max="3083" width="9" style="2656"/>
    <col min="3084" max="3085" width="10.625" style="2656" customWidth="1"/>
    <col min="3086" max="3086" width="14.375" style="2656" customWidth="1"/>
    <col min="3087" max="3087" width="6.25" style="2656" customWidth="1"/>
    <col min="3088" max="3088" width="29.375" style="2656" customWidth="1"/>
    <col min="3089" max="3089" width="7.875" style="2656" customWidth="1"/>
    <col min="3090" max="3329" width="9" style="2656"/>
    <col min="3330" max="3330" width="44.125" style="2656" customWidth="1"/>
    <col min="3331" max="3331" width="6.25" style="2656" customWidth="1"/>
    <col min="3332" max="3334" width="13.875" style="2656" customWidth="1"/>
    <col min="3335" max="3335" width="25.375" style="2656" customWidth="1"/>
    <col min="3336" max="3336" width="7.875" style="2656" customWidth="1"/>
    <col min="3337" max="3337" width="21.625" style="2656" customWidth="1"/>
    <col min="3338" max="3339" width="9" style="2656"/>
    <col min="3340" max="3341" width="10.625" style="2656" customWidth="1"/>
    <col min="3342" max="3342" width="14.375" style="2656" customWidth="1"/>
    <col min="3343" max="3343" width="6.25" style="2656" customWidth="1"/>
    <col min="3344" max="3344" width="29.375" style="2656" customWidth="1"/>
    <col min="3345" max="3345" width="7.875" style="2656" customWidth="1"/>
    <col min="3346" max="3585" width="9" style="2656"/>
    <col min="3586" max="3586" width="44.125" style="2656" customWidth="1"/>
    <col min="3587" max="3587" width="6.25" style="2656" customWidth="1"/>
    <col min="3588" max="3590" width="13.875" style="2656" customWidth="1"/>
    <col min="3591" max="3591" width="25.375" style="2656" customWidth="1"/>
    <col min="3592" max="3592" width="7.875" style="2656" customWidth="1"/>
    <col min="3593" max="3593" width="21.625" style="2656" customWidth="1"/>
    <col min="3594" max="3595" width="9" style="2656"/>
    <col min="3596" max="3597" width="10.625" style="2656" customWidth="1"/>
    <col min="3598" max="3598" width="14.375" style="2656" customWidth="1"/>
    <col min="3599" max="3599" width="6.25" style="2656" customWidth="1"/>
    <col min="3600" max="3600" width="29.375" style="2656" customWidth="1"/>
    <col min="3601" max="3601" width="7.875" style="2656" customWidth="1"/>
    <col min="3602" max="3841" width="9" style="2656"/>
    <col min="3842" max="3842" width="44.125" style="2656" customWidth="1"/>
    <col min="3843" max="3843" width="6.25" style="2656" customWidth="1"/>
    <col min="3844" max="3846" width="13.875" style="2656" customWidth="1"/>
    <col min="3847" max="3847" width="25.375" style="2656" customWidth="1"/>
    <col min="3848" max="3848" width="7.875" style="2656" customWidth="1"/>
    <col min="3849" max="3849" width="21.625" style="2656" customWidth="1"/>
    <col min="3850" max="3851" width="9" style="2656"/>
    <col min="3852" max="3853" width="10.625" style="2656" customWidth="1"/>
    <col min="3854" max="3854" width="14.375" style="2656" customWidth="1"/>
    <col min="3855" max="3855" width="6.25" style="2656" customWidth="1"/>
    <col min="3856" max="3856" width="29.375" style="2656" customWidth="1"/>
    <col min="3857" max="3857" width="7.875" style="2656" customWidth="1"/>
    <col min="3858" max="4097" width="9" style="2656"/>
    <col min="4098" max="4098" width="44.125" style="2656" customWidth="1"/>
    <col min="4099" max="4099" width="6.25" style="2656" customWidth="1"/>
    <col min="4100" max="4102" width="13.875" style="2656" customWidth="1"/>
    <col min="4103" max="4103" width="25.375" style="2656" customWidth="1"/>
    <col min="4104" max="4104" width="7.875" style="2656" customWidth="1"/>
    <col min="4105" max="4105" width="21.625" style="2656" customWidth="1"/>
    <col min="4106" max="4107" width="9" style="2656"/>
    <col min="4108" max="4109" width="10.625" style="2656" customWidth="1"/>
    <col min="4110" max="4110" width="14.375" style="2656" customWidth="1"/>
    <col min="4111" max="4111" width="6.25" style="2656" customWidth="1"/>
    <col min="4112" max="4112" width="29.375" style="2656" customWidth="1"/>
    <col min="4113" max="4113" width="7.875" style="2656" customWidth="1"/>
    <col min="4114" max="4353" width="9" style="2656"/>
    <col min="4354" max="4354" width="44.125" style="2656" customWidth="1"/>
    <col min="4355" max="4355" width="6.25" style="2656" customWidth="1"/>
    <col min="4356" max="4358" width="13.875" style="2656" customWidth="1"/>
    <col min="4359" max="4359" width="25.375" style="2656" customWidth="1"/>
    <col min="4360" max="4360" width="7.875" style="2656" customWidth="1"/>
    <col min="4361" max="4361" width="21.625" style="2656" customWidth="1"/>
    <col min="4362" max="4363" width="9" style="2656"/>
    <col min="4364" max="4365" width="10.625" style="2656" customWidth="1"/>
    <col min="4366" max="4366" width="14.375" style="2656" customWidth="1"/>
    <col min="4367" max="4367" width="6.25" style="2656" customWidth="1"/>
    <col min="4368" max="4368" width="29.375" style="2656" customWidth="1"/>
    <col min="4369" max="4369" width="7.875" style="2656" customWidth="1"/>
    <col min="4370" max="4609" width="9" style="2656"/>
    <col min="4610" max="4610" width="44.125" style="2656" customWidth="1"/>
    <col min="4611" max="4611" width="6.25" style="2656" customWidth="1"/>
    <col min="4612" max="4614" width="13.875" style="2656" customWidth="1"/>
    <col min="4615" max="4615" width="25.375" style="2656" customWidth="1"/>
    <col min="4616" max="4616" width="7.875" style="2656" customWidth="1"/>
    <col min="4617" max="4617" width="21.625" style="2656" customWidth="1"/>
    <col min="4618" max="4619" width="9" style="2656"/>
    <col min="4620" max="4621" width="10.625" style="2656" customWidth="1"/>
    <col min="4622" max="4622" width="14.375" style="2656" customWidth="1"/>
    <col min="4623" max="4623" width="6.25" style="2656" customWidth="1"/>
    <col min="4624" max="4624" width="29.375" style="2656" customWidth="1"/>
    <col min="4625" max="4625" width="7.875" style="2656" customWidth="1"/>
    <col min="4626" max="4865" width="9" style="2656"/>
    <col min="4866" max="4866" width="44.125" style="2656" customWidth="1"/>
    <col min="4867" max="4867" width="6.25" style="2656" customWidth="1"/>
    <col min="4868" max="4870" width="13.875" style="2656" customWidth="1"/>
    <col min="4871" max="4871" width="25.375" style="2656" customWidth="1"/>
    <col min="4872" max="4872" width="7.875" style="2656" customWidth="1"/>
    <col min="4873" max="4873" width="21.625" style="2656" customWidth="1"/>
    <col min="4874" max="4875" width="9" style="2656"/>
    <col min="4876" max="4877" width="10.625" style="2656" customWidth="1"/>
    <col min="4878" max="4878" width="14.375" style="2656" customWidth="1"/>
    <col min="4879" max="4879" width="6.25" style="2656" customWidth="1"/>
    <col min="4880" max="4880" width="29.375" style="2656" customWidth="1"/>
    <col min="4881" max="4881" width="7.875" style="2656" customWidth="1"/>
    <col min="4882" max="5121" width="9" style="2656"/>
    <col min="5122" max="5122" width="44.125" style="2656" customWidth="1"/>
    <col min="5123" max="5123" width="6.25" style="2656" customWidth="1"/>
    <col min="5124" max="5126" width="13.875" style="2656" customWidth="1"/>
    <col min="5127" max="5127" width="25.375" style="2656" customWidth="1"/>
    <col min="5128" max="5128" width="7.875" style="2656" customWidth="1"/>
    <col min="5129" max="5129" width="21.625" style="2656" customWidth="1"/>
    <col min="5130" max="5131" width="9" style="2656"/>
    <col min="5132" max="5133" width="10.625" style="2656" customWidth="1"/>
    <col min="5134" max="5134" width="14.375" style="2656" customWidth="1"/>
    <col min="5135" max="5135" width="6.25" style="2656" customWidth="1"/>
    <col min="5136" max="5136" width="29.375" style="2656" customWidth="1"/>
    <col min="5137" max="5137" width="7.875" style="2656" customWidth="1"/>
    <col min="5138" max="5377" width="9" style="2656"/>
    <col min="5378" max="5378" width="44.125" style="2656" customWidth="1"/>
    <col min="5379" max="5379" width="6.25" style="2656" customWidth="1"/>
    <col min="5380" max="5382" width="13.875" style="2656" customWidth="1"/>
    <col min="5383" max="5383" width="25.375" style="2656" customWidth="1"/>
    <col min="5384" max="5384" width="7.875" style="2656" customWidth="1"/>
    <col min="5385" max="5385" width="21.625" style="2656" customWidth="1"/>
    <col min="5386" max="5387" width="9" style="2656"/>
    <col min="5388" max="5389" width="10.625" style="2656" customWidth="1"/>
    <col min="5390" max="5390" width="14.375" style="2656" customWidth="1"/>
    <col min="5391" max="5391" width="6.25" style="2656" customWidth="1"/>
    <col min="5392" max="5392" width="29.375" style="2656" customWidth="1"/>
    <col min="5393" max="5393" width="7.875" style="2656" customWidth="1"/>
    <col min="5394" max="5633" width="9" style="2656"/>
    <col min="5634" max="5634" width="44.125" style="2656" customWidth="1"/>
    <col min="5635" max="5635" width="6.25" style="2656" customWidth="1"/>
    <col min="5636" max="5638" width="13.875" style="2656" customWidth="1"/>
    <col min="5639" max="5639" width="25.375" style="2656" customWidth="1"/>
    <col min="5640" max="5640" width="7.875" style="2656" customWidth="1"/>
    <col min="5641" max="5641" width="21.625" style="2656" customWidth="1"/>
    <col min="5642" max="5643" width="9" style="2656"/>
    <col min="5644" max="5645" width="10.625" style="2656" customWidth="1"/>
    <col min="5646" max="5646" width="14.375" style="2656" customWidth="1"/>
    <col min="5647" max="5647" width="6.25" style="2656" customWidth="1"/>
    <col min="5648" max="5648" width="29.375" style="2656" customWidth="1"/>
    <col min="5649" max="5649" width="7.875" style="2656" customWidth="1"/>
    <col min="5650" max="5889" width="9" style="2656"/>
    <col min="5890" max="5890" width="44.125" style="2656" customWidth="1"/>
    <col min="5891" max="5891" width="6.25" style="2656" customWidth="1"/>
    <col min="5892" max="5894" width="13.875" style="2656" customWidth="1"/>
    <col min="5895" max="5895" width="25.375" style="2656" customWidth="1"/>
    <col min="5896" max="5896" width="7.875" style="2656" customWidth="1"/>
    <col min="5897" max="5897" width="21.625" style="2656" customWidth="1"/>
    <col min="5898" max="5899" width="9" style="2656"/>
    <col min="5900" max="5901" width="10.625" style="2656" customWidth="1"/>
    <col min="5902" max="5902" width="14.375" style="2656" customWidth="1"/>
    <col min="5903" max="5903" width="6.25" style="2656" customWidth="1"/>
    <col min="5904" max="5904" width="29.375" style="2656" customWidth="1"/>
    <col min="5905" max="5905" width="7.875" style="2656" customWidth="1"/>
    <col min="5906" max="6145" width="9" style="2656"/>
    <col min="6146" max="6146" width="44.125" style="2656" customWidth="1"/>
    <col min="6147" max="6147" width="6.25" style="2656" customWidth="1"/>
    <col min="6148" max="6150" width="13.875" style="2656" customWidth="1"/>
    <col min="6151" max="6151" width="25.375" style="2656" customWidth="1"/>
    <col min="6152" max="6152" width="7.875" style="2656" customWidth="1"/>
    <col min="6153" max="6153" width="21.625" style="2656" customWidth="1"/>
    <col min="6154" max="6155" width="9" style="2656"/>
    <col min="6156" max="6157" width="10.625" style="2656" customWidth="1"/>
    <col min="6158" max="6158" width="14.375" style="2656" customWidth="1"/>
    <col min="6159" max="6159" width="6.25" style="2656" customWidth="1"/>
    <col min="6160" max="6160" width="29.375" style="2656" customWidth="1"/>
    <col min="6161" max="6161" width="7.875" style="2656" customWidth="1"/>
    <col min="6162" max="6401" width="9" style="2656"/>
    <col min="6402" max="6402" width="44.125" style="2656" customWidth="1"/>
    <col min="6403" max="6403" width="6.25" style="2656" customWidth="1"/>
    <col min="6404" max="6406" width="13.875" style="2656" customWidth="1"/>
    <col min="6407" max="6407" width="25.375" style="2656" customWidth="1"/>
    <col min="6408" max="6408" width="7.875" style="2656" customWidth="1"/>
    <col min="6409" max="6409" width="21.625" style="2656" customWidth="1"/>
    <col min="6410" max="6411" width="9" style="2656"/>
    <col min="6412" max="6413" width="10.625" style="2656" customWidth="1"/>
    <col min="6414" max="6414" width="14.375" style="2656" customWidth="1"/>
    <col min="6415" max="6415" width="6.25" style="2656" customWidth="1"/>
    <col min="6416" max="6416" width="29.375" style="2656" customWidth="1"/>
    <col min="6417" max="6417" width="7.875" style="2656" customWidth="1"/>
    <col min="6418" max="6657" width="9" style="2656"/>
    <col min="6658" max="6658" width="44.125" style="2656" customWidth="1"/>
    <col min="6659" max="6659" width="6.25" style="2656" customWidth="1"/>
    <col min="6660" max="6662" width="13.875" style="2656" customWidth="1"/>
    <col min="6663" max="6663" width="25.375" style="2656" customWidth="1"/>
    <col min="6664" max="6664" width="7.875" style="2656" customWidth="1"/>
    <col min="6665" max="6665" width="21.625" style="2656" customWidth="1"/>
    <col min="6666" max="6667" width="9" style="2656"/>
    <col min="6668" max="6669" width="10.625" style="2656" customWidth="1"/>
    <col min="6670" max="6670" width="14.375" style="2656" customWidth="1"/>
    <col min="6671" max="6671" width="6.25" style="2656" customWidth="1"/>
    <col min="6672" max="6672" width="29.375" style="2656" customWidth="1"/>
    <col min="6673" max="6673" width="7.875" style="2656" customWidth="1"/>
    <col min="6674" max="6913" width="9" style="2656"/>
    <col min="6914" max="6914" width="44.125" style="2656" customWidth="1"/>
    <col min="6915" max="6915" width="6.25" style="2656" customWidth="1"/>
    <col min="6916" max="6918" width="13.875" style="2656" customWidth="1"/>
    <col min="6919" max="6919" width="25.375" style="2656" customWidth="1"/>
    <col min="6920" max="6920" width="7.875" style="2656" customWidth="1"/>
    <col min="6921" max="6921" width="21.625" style="2656" customWidth="1"/>
    <col min="6922" max="6923" width="9" style="2656"/>
    <col min="6924" max="6925" width="10.625" style="2656" customWidth="1"/>
    <col min="6926" max="6926" width="14.375" style="2656" customWidth="1"/>
    <col min="6927" max="6927" width="6.25" style="2656" customWidth="1"/>
    <col min="6928" max="6928" width="29.375" style="2656" customWidth="1"/>
    <col min="6929" max="6929" width="7.875" style="2656" customWidth="1"/>
    <col min="6930" max="7169" width="9" style="2656"/>
    <col min="7170" max="7170" width="44.125" style="2656" customWidth="1"/>
    <col min="7171" max="7171" width="6.25" style="2656" customWidth="1"/>
    <col min="7172" max="7174" width="13.875" style="2656" customWidth="1"/>
    <col min="7175" max="7175" width="25.375" style="2656" customWidth="1"/>
    <col min="7176" max="7176" width="7.875" style="2656" customWidth="1"/>
    <col min="7177" max="7177" width="21.625" style="2656" customWidth="1"/>
    <col min="7178" max="7179" width="9" style="2656"/>
    <col min="7180" max="7181" width="10.625" style="2656" customWidth="1"/>
    <col min="7182" max="7182" width="14.375" style="2656" customWidth="1"/>
    <col min="7183" max="7183" width="6.25" style="2656" customWidth="1"/>
    <col min="7184" max="7184" width="29.375" style="2656" customWidth="1"/>
    <col min="7185" max="7185" width="7.875" style="2656" customWidth="1"/>
    <col min="7186" max="7425" width="9" style="2656"/>
    <col min="7426" max="7426" width="44.125" style="2656" customWidth="1"/>
    <col min="7427" max="7427" width="6.25" style="2656" customWidth="1"/>
    <col min="7428" max="7430" width="13.875" style="2656" customWidth="1"/>
    <col min="7431" max="7431" width="25.375" style="2656" customWidth="1"/>
    <col min="7432" max="7432" width="7.875" style="2656" customWidth="1"/>
    <col min="7433" max="7433" width="21.625" style="2656" customWidth="1"/>
    <col min="7434" max="7435" width="9" style="2656"/>
    <col min="7436" max="7437" width="10.625" style="2656" customWidth="1"/>
    <col min="7438" max="7438" width="14.375" style="2656" customWidth="1"/>
    <col min="7439" max="7439" width="6.25" style="2656" customWidth="1"/>
    <col min="7440" max="7440" width="29.375" style="2656" customWidth="1"/>
    <col min="7441" max="7441" width="7.875" style="2656" customWidth="1"/>
    <col min="7442" max="7681" width="9" style="2656"/>
    <col min="7682" max="7682" width="44.125" style="2656" customWidth="1"/>
    <col min="7683" max="7683" width="6.25" style="2656" customWidth="1"/>
    <col min="7684" max="7686" width="13.875" style="2656" customWidth="1"/>
    <col min="7687" max="7687" width="25.375" style="2656" customWidth="1"/>
    <col min="7688" max="7688" width="7.875" style="2656" customWidth="1"/>
    <col min="7689" max="7689" width="21.625" style="2656" customWidth="1"/>
    <col min="7690" max="7691" width="9" style="2656"/>
    <col min="7692" max="7693" width="10.625" style="2656" customWidth="1"/>
    <col min="7694" max="7694" width="14.375" style="2656" customWidth="1"/>
    <col min="7695" max="7695" width="6.25" style="2656" customWidth="1"/>
    <col min="7696" max="7696" width="29.375" style="2656" customWidth="1"/>
    <col min="7697" max="7697" width="7.875" style="2656" customWidth="1"/>
    <col min="7698" max="7937" width="9" style="2656"/>
    <col min="7938" max="7938" width="44.125" style="2656" customWidth="1"/>
    <col min="7939" max="7939" width="6.25" style="2656" customWidth="1"/>
    <col min="7940" max="7942" width="13.875" style="2656" customWidth="1"/>
    <col min="7943" max="7943" width="25.375" style="2656" customWidth="1"/>
    <col min="7944" max="7944" width="7.875" style="2656" customWidth="1"/>
    <col min="7945" max="7945" width="21.625" style="2656" customWidth="1"/>
    <col min="7946" max="7947" width="9" style="2656"/>
    <col min="7948" max="7949" width="10.625" style="2656" customWidth="1"/>
    <col min="7950" max="7950" width="14.375" style="2656" customWidth="1"/>
    <col min="7951" max="7951" width="6.25" style="2656" customWidth="1"/>
    <col min="7952" max="7952" width="29.375" style="2656" customWidth="1"/>
    <col min="7953" max="7953" width="7.875" style="2656" customWidth="1"/>
    <col min="7954" max="8193" width="9" style="2656"/>
    <col min="8194" max="8194" width="44.125" style="2656" customWidth="1"/>
    <col min="8195" max="8195" width="6.25" style="2656" customWidth="1"/>
    <col min="8196" max="8198" width="13.875" style="2656" customWidth="1"/>
    <col min="8199" max="8199" width="25.375" style="2656" customWidth="1"/>
    <col min="8200" max="8200" width="7.875" style="2656" customWidth="1"/>
    <col min="8201" max="8201" width="21.625" style="2656" customWidth="1"/>
    <col min="8202" max="8203" width="9" style="2656"/>
    <col min="8204" max="8205" width="10.625" style="2656" customWidth="1"/>
    <col min="8206" max="8206" width="14.375" style="2656" customWidth="1"/>
    <col min="8207" max="8207" width="6.25" style="2656" customWidth="1"/>
    <col min="8208" max="8208" width="29.375" style="2656" customWidth="1"/>
    <col min="8209" max="8209" width="7.875" style="2656" customWidth="1"/>
    <col min="8210" max="8449" width="9" style="2656"/>
    <col min="8450" max="8450" width="44.125" style="2656" customWidth="1"/>
    <col min="8451" max="8451" width="6.25" style="2656" customWidth="1"/>
    <col min="8452" max="8454" width="13.875" style="2656" customWidth="1"/>
    <col min="8455" max="8455" width="25.375" style="2656" customWidth="1"/>
    <col min="8456" max="8456" width="7.875" style="2656" customWidth="1"/>
    <col min="8457" max="8457" width="21.625" style="2656" customWidth="1"/>
    <col min="8458" max="8459" width="9" style="2656"/>
    <col min="8460" max="8461" width="10.625" style="2656" customWidth="1"/>
    <col min="8462" max="8462" width="14.375" style="2656" customWidth="1"/>
    <col min="8463" max="8463" width="6.25" style="2656" customWidth="1"/>
    <col min="8464" max="8464" width="29.375" style="2656" customWidth="1"/>
    <col min="8465" max="8465" width="7.875" style="2656" customWidth="1"/>
    <col min="8466" max="8705" width="9" style="2656"/>
    <col min="8706" max="8706" width="44.125" style="2656" customWidth="1"/>
    <col min="8707" max="8707" width="6.25" style="2656" customWidth="1"/>
    <col min="8708" max="8710" width="13.875" style="2656" customWidth="1"/>
    <col min="8711" max="8711" width="25.375" style="2656" customWidth="1"/>
    <col min="8712" max="8712" width="7.875" style="2656" customWidth="1"/>
    <col min="8713" max="8713" width="21.625" style="2656" customWidth="1"/>
    <col min="8714" max="8715" width="9" style="2656"/>
    <col min="8716" max="8717" width="10.625" style="2656" customWidth="1"/>
    <col min="8718" max="8718" width="14.375" style="2656" customWidth="1"/>
    <col min="8719" max="8719" width="6.25" style="2656" customWidth="1"/>
    <col min="8720" max="8720" width="29.375" style="2656" customWidth="1"/>
    <col min="8721" max="8721" width="7.875" style="2656" customWidth="1"/>
    <col min="8722" max="8961" width="9" style="2656"/>
    <col min="8962" max="8962" width="44.125" style="2656" customWidth="1"/>
    <col min="8963" max="8963" width="6.25" style="2656" customWidth="1"/>
    <col min="8964" max="8966" width="13.875" style="2656" customWidth="1"/>
    <col min="8967" max="8967" width="25.375" style="2656" customWidth="1"/>
    <col min="8968" max="8968" width="7.875" style="2656" customWidth="1"/>
    <col min="8969" max="8969" width="21.625" style="2656" customWidth="1"/>
    <col min="8970" max="8971" width="9" style="2656"/>
    <col min="8972" max="8973" width="10.625" style="2656" customWidth="1"/>
    <col min="8974" max="8974" width="14.375" style="2656" customWidth="1"/>
    <col min="8975" max="8975" width="6.25" style="2656" customWidth="1"/>
    <col min="8976" max="8976" width="29.375" style="2656" customWidth="1"/>
    <col min="8977" max="8977" width="7.875" style="2656" customWidth="1"/>
    <col min="8978" max="9217" width="9" style="2656"/>
    <col min="9218" max="9218" width="44.125" style="2656" customWidth="1"/>
    <col min="9219" max="9219" width="6.25" style="2656" customWidth="1"/>
    <col min="9220" max="9222" width="13.875" style="2656" customWidth="1"/>
    <col min="9223" max="9223" width="25.375" style="2656" customWidth="1"/>
    <col min="9224" max="9224" width="7.875" style="2656" customWidth="1"/>
    <col min="9225" max="9225" width="21.625" style="2656" customWidth="1"/>
    <col min="9226" max="9227" width="9" style="2656"/>
    <col min="9228" max="9229" width="10.625" style="2656" customWidth="1"/>
    <col min="9230" max="9230" width="14.375" style="2656" customWidth="1"/>
    <col min="9231" max="9231" width="6.25" style="2656" customWidth="1"/>
    <col min="9232" max="9232" width="29.375" style="2656" customWidth="1"/>
    <col min="9233" max="9233" width="7.875" style="2656" customWidth="1"/>
    <col min="9234" max="9473" width="9" style="2656"/>
    <col min="9474" max="9474" width="44.125" style="2656" customWidth="1"/>
    <col min="9475" max="9475" width="6.25" style="2656" customWidth="1"/>
    <col min="9476" max="9478" width="13.875" style="2656" customWidth="1"/>
    <col min="9479" max="9479" width="25.375" style="2656" customWidth="1"/>
    <col min="9480" max="9480" width="7.875" style="2656" customWidth="1"/>
    <col min="9481" max="9481" width="21.625" style="2656" customWidth="1"/>
    <col min="9482" max="9483" width="9" style="2656"/>
    <col min="9484" max="9485" width="10.625" style="2656" customWidth="1"/>
    <col min="9486" max="9486" width="14.375" style="2656" customWidth="1"/>
    <col min="9487" max="9487" width="6.25" style="2656" customWidth="1"/>
    <col min="9488" max="9488" width="29.375" style="2656" customWidth="1"/>
    <col min="9489" max="9489" width="7.875" style="2656" customWidth="1"/>
    <col min="9490" max="9729" width="9" style="2656"/>
    <col min="9730" max="9730" width="44.125" style="2656" customWidth="1"/>
    <col min="9731" max="9731" width="6.25" style="2656" customWidth="1"/>
    <col min="9732" max="9734" width="13.875" style="2656" customWidth="1"/>
    <col min="9735" max="9735" width="25.375" style="2656" customWidth="1"/>
    <col min="9736" max="9736" width="7.875" style="2656" customWidth="1"/>
    <col min="9737" max="9737" width="21.625" style="2656" customWidth="1"/>
    <col min="9738" max="9739" width="9" style="2656"/>
    <col min="9740" max="9741" width="10.625" style="2656" customWidth="1"/>
    <col min="9742" max="9742" width="14.375" style="2656" customWidth="1"/>
    <col min="9743" max="9743" width="6.25" style="2656" customWidth="1"/>
    <col min="9744" max="9744" width="29.375" style="2656" customWidth="1"/>
    <col min="9745" max="9745" width="7.875" style="2656" customWidth="1"/>
    <col min="9746" max="9985" width="9" style="2656"/>
    <col min="9986" max="9986" width="44.125" style="2656" customWidth="1"/>
    <col min="9987" max="9987" width="6.25" style="2656" customWidth="1"/>
    <col min="9988" max="9990" width="13.875" style="2656" customWidth="1"/>
    <col min="9991" max="9991" width="25.375" style="2656" customWidth="1"/>
    <col min="9992" max="9992" width="7.875" style="2656" customWidth="1"/>
    <col min="9993" max="9993" width="21.625" style="2656" customWidth="1"/>
    <col min="9994" max="9995" width="9" style="2656"/>
    <col min="9996" max="9997" width="10.625" style="2656" customWidth="1"/>
    <col min="9998" max="9998" width="14.375" style="2656" customWidth="1"/>
    <col min="9999" max="9999" width="6.25" style="2656" customWidth="1"/>
    <col min="10000" max="10000" width="29.375" style="2656" customWidth="1"/>
    <col min="10001" max="10001" width="7.875" style="2656" customWidth="1"/>
    <col min="10002" max="10241" width="9" style="2656"/>
    <col min="10242" max="10242" width="44.125" style="2656" customWidth="1"/>
    <col min="10243" max="10243" width="6.25" style="2656" customWidth="1"/>
    <col min="10244" max="10246" width="13.875" style="2656" customWidth="1"/>
    <col min="10247" max="10247" width="25.375" style="2656" customWidth="1"/>
    <col min="10248" max="10248" width="7.875" style="2656" customWidth="1"/>
    <col min="10249" max="10249" width="21.625" style="2656" customWidth="1"/>
    <col min="10250" max="10251" width="9" style="2656"/>
    <col min="10252" max="10253" width="10.625" style="2656" customWidth="1"/>
    <col min="10254" max="10254" width="14.375" style="2656" customWidth="1"/>
    <col min="10255" max="10255" width="6.25" style="2656" customWidth="1"/>
    <col min="10256" max="10256" width="29.375" style="2656" customWidth="1"/>
    <col min="10257" max="10257" width="7.875" style="2656" customWidth="1"/>
    <col min="10258" max="10497" width="9" style="2656"/>
    <col min="10498" max="10498" width="44.125" style="2656" customWidth="1"/>
    <col min="10499" max="10499" width="6.25" style="2656" customWidth="1"/>
    <col min="10500" max="10502" width="13.875" style="2656" customWidth="1"/>
    <col min="10503" max="10503" width="25.375" style="2656" customWidth="1"/>
    <col min="10504" max="10504" width="7.875" style="2656" customWidth="1"/>
    <col min="10505" max="10505" width="21.625" style="2656" customWidth="1"/>
    <col min="10506" max="10507" width="9" style="2656"/>
    <col min="10508" max="10509" width="10.625" style="2656" customWidth="1"/>
    <col min="10510" max="10510" width="14.375" style="2656" customWidth="1"/>
    <col min="10511" max="10511" width="6.25" style="2656" customWidth="1"/>
    <col min="10512" max="10512" width="29.375" style="2656" customWidth="1"/>
    <col min="10513" max="10513" width="7.875" style="2656" customWidth="1"/>
    <col min="10514" max="10753" width="9" style="2656"/>
    <col min="10754" max="10754" width="44.125" style="2656" customWidth="1"/>
    <col min="10755" max="10755" width="6.25" style="2656" customWidth="1"/>
    <col min="10756" max="10758" width="13.875" style="2656" customWidth="1"/>
    <col min="10759" max="10759" width="25.375" style="2656" customWidth="1"/>
    <col min="10760" max="10760" width="7.875" style="2656" customWidth="1"/>
    <col min="10761" max="10761" width="21.625" style="2656" customWidth="1"/>
    <col min="10762" max="10763" width="9" style="2656"/>
    <col min="10764" max="10765" width="10.625" style="2656" customWidth="1"/>
    <col min="10766" max="10766" width="14.375" style="2656" customWidth="1"/>
    <col min="10767" max="10767" width="6.25" style="2656" customWidth="1"/>
    <col min="10768" max="10768" width="29.375" style="2656" customWidth="1"/>
    <col min="10769" max="10769" width="7.875" style="2656" customWidth="1"/>
    <col min="10770" max="11009" width="9" style="2656"/>
    <col min="11010" max="11010" width="44.125" style="2656" customWidth="1"/>
    <col min="11011" max="11011" width="6.25" style="2656" customWidth="1"/>
    <col min="11012" max="11014" width="13.875" style="2656" customWidth="1"/>
    <col min="11015" max="11015" width="25.375" style="2656" customWidth="1"/>
    <col min="11016" max="11016" width="7.875" style="2656" customWidth="1"/>
    <col min="11017" max="11017" width="21.625" style="2656" customWidth="1"/>
    <col min="11018" max="11019" width="9" style="2656"/>
    <col min="11020" max="11021" width="10.625" style="2656" customWidth="1"/>
    <col min="11022" max="11022" width="14.375" style="2656" customWidth="1"/>
    <col min="11023" max="11023" width="6.25" style="2656" customWidth="1"/>
    <col min="11024" max="11024" width="29.375" style="2656" customWidth="1"/>
    <col min="11025" max="11025" width="7.875" style="2656" customWidth="1"/>
    <col min="11026" max="11265" width="9" style="2656"/>
    <col min="11266" max="11266" width="44.125" style="2656" customWidth="1"/>
    <col min="11267" max="11267" width="6.25" style="2656" customWidth="1"/>
    <col min="11268" max="11270" width="13.875" style="2656" customWidth="1"/>
    <col min="11271" max="11271" width="25.375" style="2656" customWidth="1"/>
    <col min="11272" max="11272" width="7.875" style="2656" customWidth="1"/>
    <col min="11273" max="11273" width="21.625" style="2656" customWidth="1"/>
    <col min="11274" max="11275" width="9" style="2656"/>
    <col min="11276" max="11277" width="10.625" style="2656" customWidth="1"/>
    <col min="11278" max="11278" width="14.375" style="2656" customWidth="1"/>
    <col min="11279" max="11279" width="6.25" style="2656" customWidth="1"/>
    <col min="11280" max="11280" width="29.375" style="2656" customWidth="1"/>
    <col min="11281" max="11281" width="7.875" style="2656" customWidth="1"/>
    <col min="11282" max="11521" width="9" style="2656"/>
    <col min="11522" max="11522" width="44.125" style="2656" customWidth="1"/>
    <col min="11523" max="11523" width="6.25" style="2656" customWidth="1"/>
    <col min="11524" max="11526" width="13.875" style="2656" customWidth="1"/>
    <col min="11527" max="11527" width="25.375" style="2656" customWidth="1"/>
    <col min="11528" max="11528" width="7.875" style="2656" customWidth="1"/>
    <col min="11529" max="11529" width="21.625" style="2656" customWidth="1"/>
    <col min="11530" max="11531" width="9" style="2656"/>
    <col min="11532" max="11533" width="10.625" style="2656" customWidth="1"/>
    <col min="11534" max="11534" width="14.375" style="2656" customWidth="1"/>
    <col min="11535" max="11535" width="6.25" style="2656" customWidth="1"/>
    <col min="11536" max="11536" width="29.375" style="2656" customWidth="1"/>
    <col min="11537" max="11537" width="7.875" style="2656" customWidth="1"/>
    <col min="11538" max="11777" width="9" style="2656"/>
    <col min="11778" max="11778" width="44.125" style="2656" customWidth="1"/>
    <col min="11779" max="11779" width="6.25" style="2656" customWidth="1"/>
    <col min="11780" max="11782" width="13.875" style="2656" customWidth="1"/>
    <col min="11783" max="11783" width="25.375" style="2656" customWidth="1"/>
    <col min="11784" max="11784" width="7.875" style="2656" customWidth="1"/>
    <col min="11785" max="11785" width="21.625" style="2656" customWidth="1"/>
    <col min="11786" max="11787" width="9" style="2656"/>
    <col min="11788" max="11789" width="10.625" style="2656" customWidth="1"/>
    <col min="11790" max="11790" width="14.375" style="2656" customWidth="1"/>
    <col min="11791" max="11791" width="6.25" style="2656" customWidth="1"/>
    <col min="11792" max="11792" width="29.375" style="2656" customWidth="1"/>
    <col min="11793" max="11793" width="7.875" style="2656" customWidth="1"/>
    <col min="11794" max="12033" width="9" style="2656"/>
    <col min="12034" max="12034" width="44.125" style="2656" customWidth="1"/>
    <col min="12035" max="12035" width="6.25" style="2656" customWidth="1"/>
    <col min="12036" max="12038" width="13.875" style="2656" customWidth="1"/>
    <col min="12039" max="12039" width="25.375" style="2656" customWidth="1"/>
    <col min="12040" max="12040" width="7.875" style="2656" customWidth="1"/>
    <col min="12041" max="12041" width="21.625" style="2656" customWidth="1"/>
    <col min="12042" max="12043" width="9" style="2656"/>
    <col min="12044" max="12045" width="10.625" style="2656" customWidth="1"/>
    <col min="12046" max="12046" width="14.375" style="2656" customWidth="1"/>
    <col min="12047" max="12047" width="6.25" style="2656" customWidth="1"/>
    <col min="12048" max="12048" width="29.375" style="2656" customWidth="1"/>
    <col min="12049" max="12049" width="7.875" style="2656" customWidth="1"/>
    <col min="12050" max="12289" width="9" style="2656"/>
    <col min="12290" max="12290" width="44.125" style="2656" customWidth="1"/>
    <col min="12291" max="12291" width="6.25" style="2656" customWidth="1"/>
    <col min="12292" max="12294" width="13.875" style="2656" customWidth="1"/>
    <col min="12295" max="12295" width="25.375" style="2656" customWidth="1"/>
    <col min="12296" max="12296" width="7.875" style="2656" customWidth="1"/>
    <col min="12297" max="12297" width="21.625" style="2656" customWidth="1"/>
    <col min="12298" max="12299" width="9" style="2656"/>
    <col min="12300" max="12301" width="10.625" style="2656" customWidth="1"/>
    <col min="12302" max="12302" width="14.375" style="2656" customWidth="1"/>
    <col min="12303" max="12303" width="6.25" style="2656" customWidth="1"/>
    <col min="12304" max="12304" width="29.375" style="2656" customWidth="1"/>
    <col min="12305" max="12305" width="7.875" style="2656" customWidth="1"/>
    <col min="12306" max="12545" width="9" style="2656"/>
    <col min="12546" max="12546" width="44.125" style="2656" customWidth="1"/>
    <col min="12547" max="12547" width="6.25" style="2656" customWidth="1"/>
    <col min="12548" max="12550" width="13.875" style="2656" customWidth="1"/>
    <col min="12551" max="12551" width="25.375" style="2656" customWidth="1"/>
    <col min="12552" max="12552" width="7.875" style="2656" customWidth="1"/>
    <col min="12553" max="12553" width="21.625" style="2656" customWidth="1"/>
    <col min="12554" max="12555" width="9" style="2656"/>
    <col min="12556" max="12557" width="10.625" style="2656" customWidth="1"/>
    <col min="12558" max="12558" width="14.375" style="2656" customWidth="1"/>
    <col min="12559" max="12559" width="6.25" style="2656" customWidth="1"/>
    <col min="12560" max="12560" width="29.375" style="2656" customWidth="1"/>
    <col min="12561" max="12561" width="7.875" style="2656" customWidth="1"/>
    <col min="12562" max="12801" width="9" style="2656"/>
    <col min="12802" max="12802" width="44.125" style="2656" customWidth="1"/>
    <col min="12803" max="12803" width="6.25" style="2656" customWidth="1"/>
    <col min="12804" max="12806" width="13.875" style="2656" customWidth="1"/>
    <col min="12807" max="12807" width="25.375" style="2656" customWidth="1"/>
    <col min="12808" max="12808" width="7.875" style="2656" customWidth="1"/>
    <col min="12809" max="12809" width="21.625" style="2656" customWidth="1"/>
    <col min="12810" max="12811" width="9" style="2656"/>
    <col min="12812" max="12813" width="10.625" style="2656" customWidth="1"/>
    <col min="12814" max="12814" width="14.375" style="2656" customWidth="1"/>
    <col min="12815" max="12815" width="6.25" style="2656" customWidth="1"/>
    <col min="12816" max="12816" width="29.375" style="2656" customWidth="1"/>
    <col min="12817" max="12817" width="7.875" style="2656" customWidth="1"/>
    <col min="12818" max="13057" width="9" style="2656"/>
    <col min="13058" max="13058" width="44.125" style="2656" customWidth="1"/>
    <col min="13059" max="13059" width="6.25" style="2656" customWidth="1"/>
    <col min="13060" max="13062" width="13.875" style="2656" customWidth="1"/>
    <col min="13063" max="13063" width="25.375" style="2656" customWidth="1"/>
    <col min="13064" max="13064" width="7.875" style="2656" customWidth="1"/>
    <col min="13065" max="13065" width="21.625" style="2656" customWidth="1"/>
    <col min="13066" max="13067" width="9" style="2656"/>
    <col min="13068" max="13069" width="10.625" style="2656" customWidth="1"/>
    <col min="13070" max="13070" width="14.375" style="2656" customWidth="1"/>
    <col min="13071" max="13071" width="6.25" style="2656" customWidth="1"/>
    <col min="13072" max="13072" width="29.375" style="2656" customWidth="1"/>
    <col min="13073" max="13073" width="7.875" style="2656" customWidth="1"/>
    <col min="13074" max="13313" width="9" style="2656"/>
    <col min="13314" max="13314" width="44.125" style="2656" customWidth="1"/>
    <col min="13315" max="13315" width="6.25" style="2656" customWidth="1"/>
    <col min="13316" max="13318" width="13.875" style="2656" customWidth="1"/>
    <col min="13319" max="13319" width="25.375" style="2656" customWidth="1"/>
    <col min="13320" max="13320" width="7.875" style="2656" customWidth="1"/>
    <col min="13321" max="13321" width="21.625" style="2656" customWidth="1"/>
    <col min="13322" max="13323" width="9" style="2656"/>
    <col min="13324" max="13325" width="10.625" style="2656" customWidth="1"/>
    <col min="13326" max="13326" width="14.375" style="2656" customWidth="1"/>
    <col min="13327" max="13327" width="6.25" style="2656" customWidth="1"/>
    <col min="13328" max="13328" width="29.375" style="2656" customWidth="1"/>
    <col min="13329" max="13329" width="7.875" style="2656" customWidth="1"/>
    <col min="13330" max="13569" width="9" style="2656"/>
    <col min="13570" max="13570" width="44.125" style="2656" customWidth="1"/>
    <col min="13571" max="13571" width="6.25" style="2656" customWidth="1"/>
    <col min="13572" max="13574" width="13.875" style="2656" customWidth="1"/>
    <col min="13575" max="13575" width="25.375" style="2656" customWidth="1"/>
    <col min="13576" max="13576" width="7.875" style="2656" customWidth="1"/>
    <col min="13577" max="13577" width="21.625" style="2656" customWidth="1"/>
    <col min="13578" max="13579" width="9" style="2656"/>
    <col min="13580" max="13581" width="10.625" style="2656" customWidth="1"/>
    <col min="13582" max="13582" width="14.375" style="2656" customWidth="1"/>
    <col min="13583" max="13583" width="6.25" style="2656" customWidth="1"/>
    <col min="13584" max="13584" width="29.375" style="2656" customWidth="1"/>
    <col min="13585" max="13585" width="7.875" style="2656" customWidth="1"/>
    <col min="13586" max="13825" width="9" style="2656"/>
    <col min="13826" max="13826" width="44.125" style="2656" customWidth="1"/>
    <col min="13827" max="13827" width="6.25" style="2656" customWidth="1"/>
    <col min="13828" max="13830" width="13.875" style="2656" customWidth="1"/>
    <col min="13831" max="13831" width="25.375" style="2656" customWidth="1"/>
    <col min="13832" max="13832" width="7.875" style="2656" customWidth="1"/>
    <col min="13833" max="13833" width="21.625" style="2656" customWidth="1"/>
    <col min="13834" max="13835" width="9" style="2656"/>
    <col min="13836" max="13837" width="10.625" style="2656" customWidth="1"/>
    <col min="13838" max="13838" width="14.375" style="2656" customWidth="1"/>
    <col min="13839" max="13839" width="6.25" style="2656" customWidth="1"/>
    <col min="13840" max="13840" width="29.375" style="2656" customWidth="1"/>
    <col min="13841" max="13841" width="7.875" style="2656" customWidth="1"/>
    <col min="13842" max="14081" width="9" style="2656"/>
    <col min="14082" max="14082" width="44.125" style="2656" customWidth="1"/>
    <col min="14083" max="14083" width="6.25" style="2656" customWidth="1"/>
    <col min="14084" max="14086" width="13.875" style="2656" customWidth="1"/>
    <col min="14087" max="14087" width="25.375" style="2656" customWidth="1"/>
    <col min="14088" max="14088" width="7.875" style="2656" customWidth="1"/>
    <col min="14089" max="14089" width="21.625" style="2656" customWidth="1"/>
    <col min="14090" max="14091" width="9" style="2656"/>
    <col min="14092" max="14093" width="10.625" style="2656" customWidth="1"/>
    <col min="14094" max="14094" width="14.375" style="2656" customWidth="1"/>
    <col min="14095" max="14095" width="6.25" style="2656" customWidth="1"/>
    <col min="14096" max="14096" width="29.375" style="2656" customWidth="1"/>
    <col min="14097" max="14097" width="7.875" style="2656" customWidth="1"/>
    <col min="14098" max="14337" width="9" style="2656"/>
    <col min="14338" max="14338" width="44.125" style="2656" customWidth="1"/>
    <col min="14339" max="14339" width="6.25" style="2656" customWidth="1"/>
    <col min="14340" max="14342" width="13.875" style="2656" customWidth="1"/>
    <col min="14343" max="14343" width="25.375" style="2656" customWidth="1"/>
    <col min="14344" max="14344" width="7.875" style="2656" customWidth="1"/>
    <col min="14345" max="14345" width="21.625" style="2656" customWidth="1"/>
    <col min="14346" max="14347" width="9" style="2656"/>
    <col min="14348" max="14349" width="10.625" style="2656" customWidth="1"/>
    <col min="14350" max="14350" width="14.375" style="2656" customWidth="1"/>
    <col min="14351" max="14351" width="6.25" style="2656" customWidth="1"/>
    <col min="14352" max="14352" width="29.375" style="2656" customWidth="1"/>
    <col min="14353" max="14353" width="7.875" style="2656" customWidth="1"/>
    <col min="14354" max="14593" width="9" style="2656"/>
    <col min="14594" max="14594" width="44.125" style="2656" customWidth="1"/>
    <col min="14595" max="14595" width="6.25" style="2656" customWidth="1"/>
    <col min="14596" max="14598" width="13.875" style="2656" customWidth="1"/>
    <col min="14599" max="14599" width="25.375" style="2656" customWidth="1"/>
    <col min="14600" max="14600" width="7.875" style="2656" customWidth="1"/>
    <col min="14601" max="14601" width="21.625" style="2656" customWidth="1"/>
    <col min="14602" max="14603" width="9" style="2656"/>
    <col min="14604" max="14605" width="10.625" style="2656" customWidth="1"/>
    <col min="14606" max="14606" width="14.375" style="2656" customWidth="1"/>
    <col min="14607" max="14607" width="6.25" style="2656" customWidth="1"/>
    <col min="14608" max="14608" width="29.375" style="2656" customWidth="1"/>
    <col min="14609" max="14609" width="7.875" style="2656" customWidth="1"/>
    <col min="14610" max="14849" width="9" style="2656"/>
    <col min="14850" max="14850" width="44.125" style="2656" customWidth="1"/>
    <col min="14851" max="14851" width="6.25" style="2656" customWidth="1"/>
    <col min="14852" max="14854" width="13.875" style="2656" customWidth="1"/>
    <col min="14855" max="14855" width="25.375" style="2656" customWidth="1"/>
    <col min="14856" max="14856" width="7.875" style="2656" customWidth="1"/>
    <col min="14857" max="14857" width="21.625" style="2656" customWidth="1"/>
    <col min="14858" max="14859" width="9" style="2656"/>
    <col min="14860" max="14861" width="10.625" style="2656" customWidth="1"/>
    <col min="14862" max="14862" width="14.375" style="2656" customWidth="1"/>
    <col min="14863" max="14863" width="6.25" style="2656" customWidth="1"/>
    <col min="14864" max="14864" width="29.375" style="2656" customWidth="1"/>
    <col min="14865" max="14865" width="7.875" style="2656" customWidth="1"/>
    <col min="14866" max="15105" width="9" style="2656"/>
    <col min="15106" max="15106" width="44.125" style="2656" customWidth="1"/>
    <col min="15107" max="15107" width="6.25" style="2656" customWidth="1"/>
    <col min="15108" max="15110" width="13.875" style="2656" customWidth="1"/>
    <col min="15111" max="15111" width="25.375" style="2656" customWidth="1"/>
    <col min="15112" max="15112" width="7.875" style="2656" customWidth="1"/>
    <col min="15113" max="15113" width="21.625" style="2656" customWidth="1"/>
    <col min="15114" max="15115" width="9" style="2656"/>
    <col min="15116" max="15117" width="10.625" style="2656" customWidth="1"/>
    <col min="15118" max="15118" width="14.375" style="2656" customWidth="1"/>
    <col min="15119" max="15119" width="6.25" style="2656" customWidth="1"/>
    <col min="15120" max="15120" width="29.375" style="2656" customWidth="1"/>
    <col min="15121" max="15121" width="7.875" style="2656" customWidth="1"/>
    <col min="15122" max="15361" width="9" style="2656"/>
    <col min="15362" max="15362" width="44.125" style="2656" customWidth="1"/>
    <col min="15363" max="15363" width="6.25" style="2656" customWidth="1"/>
    <col min="15364" max="15366" width="13.875" style="2656" customWidth="1"/>
    <col min="15367" max="15367" width="25.375" style="2656" customWidth="1"/>
    <col min="15368" max="15368" width="7.875" style="2656" customWidth="1"/>
    <col min="15369" max="15369" width="21.625" style="2656" customWidth="1"/>
    <col min="15370" max="15371" width="9" style="2656"/>
    <col min="15372" max="15373" width="10.625" style="2656" customWidth="1"/>
    <col min="15374" max="15374" width="14.375" style="2656" customWidth="1"/>
    <col min="15375" max="15375" width="6.25" style="2656" customWidth="1"/>
    <col min="15376" max="15376" width="29.375" style="2656" customWidth="1"/>
    <col min="15377" max="15377" width="7.875" style="2656" customWidth="1"/>
    <col min="15378" max="15617" width="9" style="2656"/>
    <col min="15618" max="15618" width="44.125" style="2656" customWidth="1"/>
    <col min="15619" max="15619" width="6.25" style="2656" customWidth="1"/>
    <col min="15620" max="15622" width="13.875" style="2656" customWidth="1"/>
    <col min="15623" max="15623" width="25.375" style="2656" customWidth="1"/>
    <col min="15624" max="15624" width="7.875" style="2656" customWidth="1"/>
    <col min="15625" max="15625" width="21.625" style="2656" customWidth="1"/>
    <col min="15626" max="15627" width="9" style="2656"/>
    <col min="15628" max="15629" width="10.625" style="2656" customWidth="1"/>
    <col min="15630" max="15630" width="14.375" style="2656" customWidth="1"/>
    <col min="15631" max="15631" width="6.25" style="2656" customWidth="1"/>
    <col min="15632" max="15632" width="29.375" style="2656" customWidth="1"/>
    <col min="15633" max="15633" width="7.875" style="2656" customWidth="1"/>
    <col min="15634" max="15873" width="9" style="2656"/>
    <col min="15874" max="15874" width="44.125" style="2656" customWidth="1"/>
    <col min="15875" max="15875" width="6.25" style="2656" customWidth="1"/>
    <col min="15876" max="15878" width="13.875" style="2656" customWidth="1"/>
    <col min="15879" max="15879" width="25.375" style="2656" customWidth="1"/>
    <col min="15880" max="15880" width="7.875" style="2656" customWidth="1"/>
    <col min="15881" max="15881" width="21.625" style="2656" customWidth="1"/>
    <col min="15882" max="15883" width="9" style="2656"/>
    <col min="15884" max="15885" width="10.625" style="2656" customWidth="1"/>
    <col min="15886" max="15886" width="14.375" style="2656" customWidth="1"/>
    <col min="15887" max="15887" width="6.25" style="2656" customWidth="1"/>
    <col min="15888" max="15888" width="29.375" style="2656" customWidth="1"/>
    <col min="15889" max="15889" width="7.875" style="2656" customWidth="1"/>
    <col min="15890" max="16129" width="9" style="2656"/>
    <col min="16130" max="16130" width="44.125" style="2656" customWidth="1"/>
    <col min="16131" max="16131" width="6.25" style="2656" customWidth="1"/>
    <col min="16132" max="16134" width="13.875" style="2656" customWidth="1"/>
    <col min="16135" max="16135" width="25.375" style="2656" customWidth="1"/>
    <col min="16136" max="16136" width="7.875" style="2656" customWidth="1"/>
    <col min="16137" max="16137" width="21.625" style="2656" customWidth="1"/>
    <col min="16138" max="16139" width="9" style="2656"/>
    <col min="16140" max="16141" width="10.625" style="2656" customWidth="1"/>
    <col min="16142" max="16142" width="14.375" style="2656" customWidth="1"/>
    <col min="16143" max="16143" width="6.25" style="2656" customWidth="1"/>
    <col min="16144" max="16144" width="29.375" style="2656" customWidth="1"/>
    <col min="16145" max="16145" width="7.875" style="2656" customWidth="1"/>
    <col min="16146" max="16384" width="9" style="2656"/>
  </cols>
  <sheetData>
    <row r="1" spans="1:17" s="3314" customFormat="1" ht="40.5">
      <c r="A1" s="3313" t="s">
        <v>3008</v>
      </c>
      <c r="B1" s="3313" t="s">
        <v>3009</v>
      </c>
      <c r="C1" s="3313" t="s">
        <v>3010</v>
      </c>
      <c r="D1" s="3313" t="s">
        <v>3011</v>
      </c>
      <c r="E1" s="3313" t="s">
        <v>3012</v>
      </c>
      <c r="F1" s="3313" t="s">
        <v>2018</v>
      </c>
      <c r="G1" s="3315" t="s">
        <v>3352</v>
      </c>
      <c r="H1" s="3313" t="s">
        <v>3013</v>
      </c>
      <c r="I1" s="3313" t="s">
        <v>3014</v>
      </c>
      <c r="J1" s="3313" t="s">
        <v>3015</v>
      </c>
      <c r="K1" s="3313" t="s">
        <v>3016</v>
      </c>
      <c r="L1" s="3313" t="s">
        <v>3017</v>
      </c>
      <c r="M1" s="3313" t="s">
        <v>3018</v>
      </c>
      <c r="N1" s="3313" t="s">
        <v>3019</v>
      </c>
      <c r="O1" s="3313" t="s">
        <v>3020</v>
      </c>
      <c r="P1" s="3313" t="s">
        <v>3021</v>
      </c>
      <c r="Q1" s="3313" t="s">
        <v>3022</v>
      </c>
    </row>
    <row r="2" spans="1:17" ht="27">
      <c r="A2" s="3313" t="s">
        <v>3205</v>
      </c>
      <c r="B2" s="3312" t="s">
        <v>3024</v>
      </c>
      <c r="C2" s="3312" t="s">
        <v>3025</v>
      </c>
      <c r="D2" s="3312">
        <v>30341</v>
      </c>
      <c r="E2" s="3312">
        <v>84954.8</v>
      </c>
      <c r="F2" s="3313" t="s">
        <v>3040</v>
      </c>
      <c r="G2" s="3312">
        <f>ROUND(E2/D2,2)</f>
        <v>2.8</v>
      </c>
      <c r="H2" s="3312" t="s">
        <v>3027</v>
      </c>
      <c r="I2" s="3312" t="s">
        <v>3028</v>
      </c>
      <c r="J2" s="3312" t="s">
        <v>3206</v>
      </c>
      <c r="K2" s="3312" t="s">
        <v>3206</v>
      </c>
      <c r="L2" s="3312">
        <v>9422</v>
      </c>
      <c r="M2" s="3312">
        <v>9422</v>
      </c>
      <c r="N2" s="3312">
        <v>1109.05</v>
      </c>
      <c r="O2" s="3312">
        <v>0</v>
      </c>
      <c r="P2" s="3312" t="s">
        <v>3042</v>
      </c>
      <c r="Q2" s="3312" t="s">
        <v>3064</v>
      </c>
    </row>
    <row r="3" spans="1:17" ht="27">
      <c r="A3" s="3313" t="s">
        <v>3023</v>
      </c>
      <c r="B3" s="3312" t="s">
        <v>3024</v>
      </c>
      <c r="C3" s="3312" t="s">
        <v>3025</v>
      </c>
      <c r="D3" s="3312">
        <v>8298.9</v>
      </c>
      <c r="E3" s="3312">
        <v>24896.7</v>
      </c>
      <c r="F3" s="3313" t="s">
        <v>3026</v>
      </c>
      <c r="G3" s="3312">
        <f t="shared" ref="G3:G66" si="0">ROUND(E3/D3,2)</f>
        <v>3</v>
      </c>
      <c r="H3" s="3312" t="s">
        <v>3027</v>
      </c>
      <c r="I3" s="3312" t="s">
        <v>3028</v>
      </c>
      <c r="J3" s="3312" t="s">
        <v>3029</v>
      </c>
      <c r="K3" s="3312" t="s">
        <v>3029</v>
      </c>
      <c r="L3" s="3312">
        <v>650</v>
      </c>
      <c r="M3" s="3312">
        <v>780</v>
      </c>
      <c r="N3" s="3312">
        <v>313.29000000000002</v>
      </c>
      <c r="O3" s="3312">
        <v>20</v>
      </c>
      <c r="P3" s="3312" t="s">
        <v>3030</v>
      </c>
      <c r="Q3" s="3312" t="s">
        <v>3031</v>
      </c>
    </row>
    <row r="4" spans="1:17" ht="27">
      <c r="A4" s="3313" t="s">
        <v>3032</v>
      </c>
      <c r="B4" s="3312" t="s">
        <v>3024</v>
      </c>
      <c r="C4" s="3312" t="s">
        <v>3025</v>
      </c>
      <c r="D4" s="3312">
        <v>47114.7</v>
      </c>
      <c r="E4" s="3312">
        <v>141344.1</v>
      </c>
      <c r="F4" s="3313" t="s">
        <v>3026</v>
      </c>
      <c r="G4" s="3312">
        <f t="shared" si="0"/>
        <v>3</v>
      </c>
      <c r="H4" s="3312" t="s">
        <v>3027</v>
      </c>
      <c r="I4" s="3312" t="s">
        <v>3028</v>
      </c>
      <c r="J4" s="3312" t="s">
        <v>3029</v>
      </c>
      <c r="K4" s="3312" t="s">
        <v>3029</v>
      </c>
      <c r="L4" s="3312">
        <v>4600</v>
      </c>
      <c r="M4" s="3312">
        <v>4800</v>
      </c>
      <c r="N4" s="3312">
        <v>339.6</v>
      </c>
      <c r="O4" s="3312">
        <v>4.3499999999999996</v>
      </c>
      <c r="P4" s="3312" t="s">
        <v>3030</v>
      </c>
      <c r="Q4" s="3312" t="s">
        <v>3031</v>
      </c>
    </row>
    <row r="5" spans="1:17" ht="27">
      <c r="A5" s="3313" t="s">
        <v>3033</v>
      </c>
      <c r="B5" s="3312" t="s">
        <v>3024</v>
      </c>
      <c r="C5" s="3312" t="s">
        <v>3025</v>
      </c>
      <c r="D5" s="3312">
        <v>64345.4</v>
      </c>
      <c r="E5" s="3312">
        <v>193036.2</v>
      </c>
      <c r="F5" s="3313" t="s">
        <v>3026</v>
      </c>
      <c r="G5" s="3312">
        <f t="shared" si="0"/>
        <v>3</v>
      </c>
      <c r="H5" s="3312" t="s">
        <v>3027</v>
      </c>
      <c r="I5" s="3312" t="s">
        <v>3028</v>
      </c>
      <c r="J5" s="3312" t="s">
        <v>3029</v>
      </c>
      <c r="K5" s="3312" t="s">
        <v>3029</v>
      </c>
      <c r="L5" s="3312">
        <v>6300</v>
      </c>
      <c r="M5" s="3312">
        <v>6700</v>
      </c>
      <c r="N5" s="3312">
        <v>347.08</v>
      </c>
      <c r="O5" s="3312">
        <v>6.35</v>
      </c>
      <c r="P5" s="3312" t="s">
        <v>3030</v>
      </c>
      <c r="Q5" s="3312" t="s">
        <v>3031</v>
      </c>
    </row>
    <row r="6" spans="1:17" s="3318" customFormat="1" ht="27">
      <c r="A6" s="3316" t="s">
        <v>3034</v>
      </c>
      <c r="B6" s="3317" t="s">
        <v>3024</v>
      </c>
      <c r="C6" s="3317" t="s">
        <v>3025</v>
      </c>
      <c r="D6" s="3317">
        <v>41087.949999999997</v>
      </c>
      <c r="E6" s="3317">
        <v>123263.85</v>
      </c>
      <c r="F6" s="3316" t="s">
        <v>3026</v>
      </c>
      <c r="G6" s="3317">
        <f t="shared" si="0"/>
        <v>3</v>
      </c>
      <c r="H6" s="3317" t="s">
        <v>3027</v>
      </c>
      <c r="I6" s="3312" t="s">
        <v>3028</v>
      </c>
      <c r="J6" s="3312" t="s">
        <v>3029</v>
      </c>
      <c r="K6" s="3317" t="s">
        <v>3029</v>
      </c>
      <c r="L6" s="3317">
        <v>8450</v>
      </c>
      <c r="M6" s="3317">
        <v>8950</v>
      </c>
      <c r="N6" s="3317">
        <v>726.08</v>
      </c>
      <c r="O6" s="3317">
        <v>5.92</v>
      </c>
      <c r="P6" s="3317" t="s">
        <v>2990</v>
      </c>
      <c r="Q6" s="3317" t="s">
        <v>3031</v>
      </c>
    </row>
    <row r="7" spans="1:17" s="3318" customFormat="1" ht="27">
      <c r="A7" s="3316" t="s">
        <v>3035</v>
      </c>
      <c r="B7" s="3317" t="s">
        <v>3024</v>
      </c>
      <c r="C7" s="3317" t="s">
        <v>3025</v>
      </c>
      <c r="D7" s="3317">
        <v>45402.92</v>
      </c>
      <c r="E7" s="3317">
        <v>136208.76</v>
      </c>
      <c r="F7" s="3316" t="s">
        <v>3026</v>
      </c>
      <c r="G7" s="3317">
        <f t="shared" si="0"/>
        <v>3</v>
      </c>
      <c r="H7" s="3317" t="s">
        <v>3027</v>
      </c>
      <c r="I7" s="3312" t="s">
        <v>3028</v>
      </c>
      <c r="J7" s="3312" t="s">
        <v>3029</v>
      </c>
      <c r="K7" s="3317" t="s">
        <v>3029</v>
      </c>
      <c r="L7" s="3317">
        <v>10500</v>
      </c>
      <c r="M7" s="3317">
        <v>11000</v>
      </c>
      <c r="N7" s="3317">
        <v>807.58</v>
      </c>
      <c r="O7" s="3317">
        <v>4.76</v>
      </c>
      <c r="P7" s="3317" t="s">
        <v>2990</v>
      </c>
      <c r="Q7" s="3317" t="s">
        <v>3031</v>
      </c>
    </row>
    <row r="8" spans="1:17" ht="27">
      <c r="A8" s="3313" t="s">
        <v>3036</v>
      </c>
      <c r="B8" s="3312" t="s">
        <v>3024</v>
      </c>
      <c r="C8" s="3312" t="s">
        <v>3025</v>
      </c>
      <c r="D8" s="3312">
        <v>17377.400000000001</v>
      </c>
      <c r="E8" s="3312">
        <v>52132.2</v>
      </c>
      <c r="F8" s="3313" t="s">
        <v>3026</v>
      </c>
      <c r="G8" s="3312">
        <f t="shared" si="0"/>
        <v>3</v>
      </c>
      <c r="H8" s="3312" t="s">
        <v>3027</v>
      </c>
      <c r="I8" s="3312" t="s">
        <v>3028</v>
      </c>
      <c r="J8" s="3312" t="s">
        <v>3029</v>
      </c>
      <c r="K8" s="3312" t="s">
        <v>3029</v>
      </c>
      <c r="L8" s="3312">
        <v>1700</v>
      </c>
      <c r="M8" s="3312">
        <v>1900</v>
      </c>
      <c r="N8" s="3312">
        <v>364.45</v>
      </c>
      <c r="O8" s="3312">
        <v>11.76</v>
      </c>
      <c r="P8" s="3312" t="s">
        <v>3030</v>
      </c>
      <c r="Q8" s="3312" t="s">
        <v>3031</v>
      </c>
    </row>
    <row r="9" spans="1:17" ht="27">
      <c r="A9" s="3313" t="s">
        <v>3037</v>
      </c>
      <c r="B9" s="3312" t="s">
        <v>3024</v>
      </c>
      <c r="C9" s="3312" t="s">
        <v>3025</v>
      </c>
      <c r="D9" s="3312">
        <v>18108</v>
      </c>
      <c r="E9" s="3312">
        <v>54324</v>
      </c>
      <c r="F9" s="3313" t="s">
        <v>3026</v>
      </c>
      <c r="G9" s="3312">
        <f t="shared" si="0"/>
        <v>3</v>
      </c>
      <c r="H9" s="3312" t="s">
        <v>3027</v>
      </c>
      <c r="I9" s="3312" t="s">
        <v>3028</v>
      </c>
      <c r="J9" s="3312" t="s">
        <v>3029</v>
      </c>
      <c r="K9" s="3312" t="s">
        <v>3029</v>
      </c>
      <c r="L9" s="3312">
        <v>1800</v>
      </c>
      <c r="M9" s="3312">
        <v>1960</v>
      </c>
      <c r="N9" s="3312">
        <v>360.8</v>
      </c>
      <c r="O9" s="3312">
        <v>8.89</v>
      </c>
      <c r="P9" s="3312" t="s">
        <v>3030</v>
      </c>
      <c r="Q9" s="3312" t="s">
        <v>3031</v>
      </c>
    </row>
    <row r="10" spans="1:17" s="3318" customFormat="1" ht="27">
      <c r="A10" s="3316" t="s">
        <v>3038</v>
      </c>
      <c r="B10" s="3317" t="s">
        <v>3024</v>
      </c>
      <c r="C10" s="3317" t="s">
        <v>3025</v>
      </c>
      <c r="D10" s="3317">
        <v>52274.06</v>
      </c>
      <c r="E10" s="3317">
        <v>156822.17000000001</v>
      </c>
      <c r="F10" s="3316" t="s">
        <v>3026</v>
      </c>
      <c r="G10" s="3317">
        <f t="shared" si="0"/>
        <v>3</v>
      </c>
      <c r="H10" s="3317" t="s">
        <v>3027</v>
      </c>
      <c r="I10" s="3312" t="s">
        <v>3028</v>
      </c>
      <c r="J10" s="3312" t="s">
        <v>3029</v>
      </c>
      <c r="K10" s="3317" t="s">
        <v>3029</v>
      </c>
      <c r="L10" s="3317">
        <v>11900</v>
      </c>
      <c r="M10" s="3317">
        <v>12400</v>
      </c>
      <c r="N10" s="3317">
        <v>790.7</v>
      </c>
      <c r="O10" s="3317">
        <v>4.2</v>
      </c>
      <c r="P10" s="3317" t="s">
        <v>2990</v>
      </c>
      <c r="Q10" s="3317" t="s">
        <v>3031</v>
      </c>
    </row>
    <row r="11" spans="1:17" ht="27">
      <c r="A11" s="3313" t="s">
        <v>3039</v>
      </c>
      <c r="B11" s="3312" t="s">
        <v>3024</v>
      </c>
      <c r="C11" s="3312" t="s">
        <v>3025</v>
      </c>
      <c r="D11" s="3312">
        <v>49263</v>
      </c>
      <c r="E11" s="3312">
        <v>137936.4</v>
      </c>
      <c r="F11" s="3313" t="s">
        <v>3040</v>
      </c>
      <c r="G11" s="3312">
        <f t="shared" si="0"/>
        <v>2.8</v>
      </c>
      <c r="H11" s="3312" t="s">
        <v>3027</v>
      </c>
      <c r="I11" s="3312" t="s">
        <v>3028</v>
      </c>
      <c r="J11" s="3312" t="s">
        <v>3041</v>
      </c>
      <c r="K11" s="3312" t="s">
        <v>3041</v>
      </c>
      <c r="L11" s="3312">
        <v>15298</v>
      </c>
      <c r="M11" s="3312">
        <v>15298</v>
      </c>
      <c r="N11" s="3312">
        <v>1109.05</v>
      </c>
      <c r="O11" s="3312">
        <v>0</v>
      </c>
      <c r="P11" s="3312" t="s">
        <v>3042</v>
      </c>
      <c r="Q11" s="3312" t="s">
        <v>3031</v>
      </c>
    </row>
    <row r="12" spans="1:17" s="3321" customFormat="1" ht="27">
      <c r="A12" s="3319" t="s">
        <v>3043</v>
      </c>
      <c r="B12" s="3320" t="s">
        <v>3024</v>
      </c>
      <c r="C12" s="3320" t="s">
        <v>3025</v>
      </c>
      <c r="D12" s="3320">
        <v>32295</v>
      </c>
      <c r="E12" s="3320">
        <v>96885</v>
      </c>
      <c r="F12" s="3319" t="s">
        <v>3044</v>
      </c>
      <c r="G12" s="3320">
        <f t="shared" si="0"/>
        <v>3</v>
      </c>
      <c r="H12" s="3320" t="s">
        <v>3027</v>
      </c>
      <c r="I12" s="3312" t="s">
        <v>3028</v>
      </c>
      <c r="J12" s="3312" t="s">
        <v>3045</v>
      </c>
      <c r="K12" s="3320" t="s">
        <v>3045</v>
      </c>
      <c r="L12" s="3320">
        <v>10152</v>
      </c>
      <c r="M12" s="3320">
        <v>10152</v>
      </c>
      <c r="N12" s="3320">
        <v>1048</v>
      </c>
      <c r="O12" s="3320">
        <v>0</v>
      </c>
      <c r="P12" s="3320" t="s">
        <v>3046</v>
      </c>
      <c r="Q12" s="3320" t="s">
        <v>3031</v>
      </c>
    </row>
    <row r="13" spans="1:17" s="3321" customFormat="1" ht="27">
      <c r="A13" s="3319" t="s">
        <v>3047</v>
      </c>
      <c r="B13" s="3320" t="s">
        <v>3024</v>
      </c>
      <c r="C13" s="3320" t="s">
        <v>3025</v>
      </c>
      <c r="D13" s="3320">
        <v>30060</v>
      </c>
      <c r="E13" s="3320">
        <v>90180</v>
      </c>
      <c r="F13" s="3319" t="s">
        <v>3044</v>
      </c>
      <c r="G13" s="3320">
        <f t="shared" si="0"/>
        <v>3</v>
      </c>
      <c r="H13" s="3320" t="s">
        <v>3027</v>
      </c>
      <c r="I13" s="3312" t="s">
        <v>3028</v>
      </c>
      <c r="J13" s="3312" t="s">
        <v>3045</v>
      </c>
      <c r="K13" s="3320" t="s">
        <v>3045</v>
      </c>
      <c r="L13" s="3320">
        <v>9450</v>
      </c>
      <c r="M13" s="3320">
        <v>9450</v>
      </c>
      <c r="N13" s="3320">
        <v>1048</v>
      </c>
      <c r="O13" s="3320">
        <v>0</v>
      </c>
      <c r="P13" s="3320" t="s">
        <v>3046</v>
      </c>
      <c r="Q13" s="3320" t="s">
        <v>3031</v>
      </c>
    </row>
    <row r="14" spans="1:17" ht="40.5" hidden="1">
      <c r="A14" s="3313" t="s">
        <v>3048</v>
      </c>
      <c r="B14" s="3312" t="s">
        <v>3024</v>
      </c>
      <c r="C14" s="3312" t="s">
        <v>3025</v>
      </c>
      <c r="D14" s="3312">
        <v>62132.34</v>
      </c>
      <c r="E14" s="3312">
        <v>155330.85</v>
      </c>
      <c r="F14" s="3313" t="s">
        <v>3049</v>
      </c>
      <c r="G14" s="3312">
        <f t="shared" si="0"/>
        <v>2.5</v>
      </c>
      <c r="H14" s="3312" t="s">
        <v>3027</v>
      </c>
      <c r="I14" s="3312" t="s">
        <v>3050</v>
      </c>
      <c r="J14" s="3312" t="s">
        <v>3051</v>
      </c>
      <c r="K14" s="3312" t="s">
        <v>3051</v>
      </c>
      <c r="L14" s="3312">
        <v>11950</v>
      </c>
      <c r="M14" s="3312">
        <v>12300</v>
      </c>
      <c r="N14" s="3312">
        <v>791.86</v>
      </c>
      <c r="O14" s="3312">
        <v>2.93</v>
      </c>
      <c r="P14" s="3312" t="s">
        <v>3052</v>
      </c>
      <c r="Q14" s="3312" t="s">
        <v>3053</v>
      </c>
    </row>
    <row r="15" spans="1:17" s="3318" customFormat="1" ht="40.5">
      <c r="A15" s="3316" t="s">
        <v>3054</v>
      </c>
      <c r="B15" s="3317" t="s">
        <v>3024</v>
      </c>
      <c r="C15" s="3317" t="s">
        <v>3025</v>
      </c>
      <c r="D15" s="3317">
        <v>14665.21</v>
      </c>
      <c r="E15" s="3317">
        <v>43995.63</v>
      </c>
      <c r="F15" s="3316" t="s">
        <v>3055</v>
      </c>
      <c r="G15" s="3317">
        <f t="shared" si="0"/>
        <v>3</v>
      </c>
      <c r="H15" s="3317" t="s">
        <v>3027</v>
      </c>
      <c r="I15" s="3312" t="s">
        <v>3050</v>
      </c>
      <c r="J15" s="3312" t="s">
        <v>3051</v>
      </c>
      <c r="K15" s="3646">
        <v>44096</v>
      </c>
      <c r="L15" s="3317">
        <v>3100</v>
      </c>
      <c r="M15" s="3317">
        <v>3300</v>
      </c>
      <c r="N15" s="3317">
        <v>750.07</v>
      </c>
      <c r="O15" s="3317">
        <v>6.45</v>
      </c>
      <c r="P15" s="3317" t="s">
        <v>2990</v>
      </c>
      <c r="Q15" s="3317" t="s">
        <v>3053</v>
      </c>
    </row>
    <row r="16" spans="1:17" ht="40.5" hidden="1">
      <c r="A16" s="3313" t="s">
        <v>3056</v>
      </c>
      <c r="B16" s="3312" t="s">
        <v>3024</v>
      </c>
      <c r="C16" s="3312" t="s">
        <v>3025</v>
      </c>
      <c r="D16" s="3312">
        <v>29832.7</v>
      </c>
      <c r="E16" s="3312">
        <v>113364.26</v>
      </c>
      <c r="F16" s="3313" t="s">
        <v>3057</v>
      </c>
      <c r="G16" s="3312">
        <f t="shared" si="0"/>
        <v>3.8</v>
      </c>
      <c r="H16" s="3312" t="s">
        <v>3027</v>
      </c>
      <c r="I16" s="3312" t="s">
        <v>3050</v>
      </c>
      <c r="J16" s="3312" t="s">
        <v>3058</v>
      </c>
      <c r="K16" s="3312" t="s">
        <v>3058</v>
      </c>
      <c r="L16" s="3312">
        <v>8900</v>
      </c>
      <c r="M16" s="3312">
        <v>9070</v>
      </c>
      <c r="N16" s="3312">
        <v>800.08</v>
      </c>
      <c r="O16" s="3312">
        <v>1.91</v>
      </c>
      <c r="P16" s="3312" t="s">
        <v>3059</v>
      </c>
      <c r="Q16" s="3312" t="s">
        <v>3053</v>
      </c>
    </row>
    <row r="17" spans="1:17" ht="40.5" hidden="1">
      <c r="A17" s="3313" t="s">
        <v>3060</v>
      </c>
      <c r="B17" s="3312" t="s">
        <v>3024</v>
      </c>
      <c r="C17" s="3312" t="s">
        <v>3025</v>
      </c>
      <c r="D17" s="3312">
        <v>55296</v>
      </c>
      <c r="E17" s="3312">
        <v>82944</v>
      </c>
      <c r="F17" s="3313" t="s">
        <v>3061</v>
      </c>
      <c r="G17" s="3312">
        <f t="shared" si="0"/>
        <v>1.5</v>
      </c>
      <c r="H17" s="3312" t="s">
        <v>3027</v>
      </c>
      <c r="I17" s="3312" t="s">
        <v>3050</v>
      </c>
      <c r="J17" s="3312" t="s">
        <v>3062</v>
      </c>
      <c r="K17" s="3312" t="s">
        <v>3062</v>
      </c>
      <c r="L17" s="3312">
        <v>15345</v>
      </c>
      <c r="M17" s="3312">
        <v>15345</v>
      </c>
      <c r="N17" s="3312">
        <v>1850.03</v>
      </c>
      <c r="O17" s="3312">
        <v>0</v>
      </c>
      <c r="P17" s="3312" t="s">
        <v>3063</v>
      </c>
      <c r="Q17" s="3312" t="s">
        <v>3064</v>
      </c>
    </row>
    <row r="18" spans="1:17" hidden="1">
      <c r="A18" s="3313" t="s">
        <v>3065</v>
      </c>
      <c r="B18" s="3312" t="s">
        <v>3024</v>
      </c>
      <c r="C18" s="3312" t="s">
        <v>3025</v>
      </c>
      <c r="D18" s="3312">
        <v>54964</v>
      </c>
      <c r="E18" s="3312">
        <v>153899.20000000001</v>
      </c>
      <c r="F18" s="3313" t="s">
        <v>3066</v>
      </c>
      <c r="G18" s="3312">
        <f t="shared" si="0"/>
        <v>2.8</v>
      </c>
      <c r="H18" s="3312" t="s">
        <v>3027</v>
      </c>
      <c r="I18" s="3312" t="s">
        <v>3050</v>
      </c>
      <c r="J18" s="3312" t="s">
        <v>3062</v>
      </c>
      <c r="K18" s="3312" t="s">
        <v>3062</v>
      </c>
      <c r="L18" s="3312">
        <v>13090</v>
      </c>
      <c r="M18" s="3312">
        <v>13090</v>
      </c>
      <c r="N18" s="3312">
        <v>850.55</v>
      </c>
      <c r="O18" s="3312">
        <v>0</v>
      </c>
      <c r="P18" s="3312" t="s">
        <v>3042</v>
      </c>
      <c r="Q18" s="3312" t="s">
        <v>3053</v>
      </c>
    </row>
    <row r="19" spans="1:17" ht="40.5" hidden="1">
      <c r="A19" s="3313" t="s">
        <v>3067</v>
      </c>
      <c r="B19" s="3312" t="s">
        <v>3024</v>
      </c>
      <c r="C19" s="3312" t="s">
        <v>3025</v>
      </c>
      <c r="D19" s="3312">
        <v>49696</v>
      </c>
      <c r="E19" s="3312">
        <v>74544</v>
      </c>
      <c r="F19" s="3313" t="s">
        <v>3061</v>
      </c>
      <c r="G19" s="3312">
        <f t="shared" si="0"/>
        <v>1.5</v>
      </c>
      <c r="H19" s="3312" t="s">
        <v>3027</v>
      </c>
      <c r="I19" s="3312" t="s">
        <v>3050</v>
      </c>
      <c r="J19" s="3312" t="s">
        <v>3062</v>
      </c>
      <c r="K19" s="3312" t="s">
        <v>3062</v>
      </c>
      <c r="L19" s="3312">
        <v>13791</v>
      </c>
      <c r="M19" s="3312">
        <v>13791</v>
      </c>
      <c r="N19" s="3312">
        <v>1850.04</v>
      </c>
      <c r="O19" s="3312">
        <v>0</v>
      </c>
      <c r="P19" s="3312" t="s">
        <v>3063</v>
      </c>
      <c r="Q19" s="3312" t="s">
        <v>3053</v>
      </c>
    </row>
    <row r="20" spans="1:17" ht="40.5" hidden="1">
      <c r="A20" s="3313" t="s">
        <v>3068</v>
      </c>
      <c r="B20" s="3312" t="s">
        <v>3024</v>
      </c>
      <c r="C20" s="3312" t="s">
        <v>3025</v>
      </c>
      <c r="D20" s="3312">
        <v>52305</v>
      </c>
      <c r="E20" s="3312">
        <v>78457.5</v>
      </c>
      <c r="F20" s="3313" t="s">
        <v>3061</v>
      </c>
      <c r="G20" s="3312">
        <f t="shared" si="0"/>
        <v>1.5</v>
      </c>
      <c r="H20" s="3312" t="s">
        <v>3027</v>
      </c>
      <c r="I20" s="3312" t="s">
        <v>3050</v>
      </c>
      <c r="J20" s="3312" t="s">
        <v>3062</v>
      </c>
      <c r="K20" s="3312" t="s">
        <v>3062</v>
      </c>
      <c r="L20" s="3312">
        <v>14515</v>
      </c>
      <c r="M20" s="3312">
        <v>14515</v>
      </c>
      <c r="N20" s="3312">
        <v>1850.04</v>
      </c>
      <c r="O20" s="3312">
        <v>0</v>
      </c>
      <c r="P20" s="3312" t="s">
        <v>3063</v>
      </c>
      <c r="Q20" s="3312" t="s">
        <v>3053</v>
      </c>
    </row>
    <row r="21" spans="1:17" ht="40.5" hidden="1">
      <c r="A21" s="3313" t="s">
        <v>3069</v>
      </c>
      <c r="B21" s="3312" t="s">
        <v>3024</v>
      </c>
      <c r="C21" s="3312" t="s">
        <v>3025</v>
      </c>
      <c r="D21" s="3312">
        <v>58385</v>
      </c>
      <c r="E21" s="3312">
        <v>87577.5</v>
      </c>
      <c r="F21" s="3313" t="s">
        <v>3061</v>
      </c>
      <c r="G21" s="3312">
        <f t="shared" si="0"/>
        <v>1.5</v>
      </c>
      <c r="H21" s="3312" t="s">
        <v>3027</v>
      </c>
      <c r="I21" s="3312" t="s">
        <v>3050</v>
      </c>
      <c r="J21" s="3312" t="s">
        <v>3070</v>
      </c>
      <c r="K21" s="3312" t="s">
        <v>3070</v>
      </c>
      <c r="L21" s="3312">
        <v>15832</v>
      </c>
      <c r="M21" s="3312">
        <v>15832</v>
      </c>
      <c r="N21" s="3312">
        <v>1807.76</v>
      </c>
      <c r="O21" s="3312">
        <v>0</v>
      </c>
      <c r="P21" s="3312" t="s">
        <v>3071</v>
      </c>
      <c r="Q21" s="3312" t="s">
        <v>3053</v>
      </c>
    </row>
    <row r="22" spans="1:17" ht="40.5" hidden="1">
      <c r="A22" s="3313" t="s">
        <v>3072</v>
      </c>
      <c r="B22" s="3312" t="s">
        <v>3024</v>
      </c>
      <c r="C22" s="3312" t="s">
        <v>3025</v>
      </c>
      <c r="D22" s="3312">
        <v>41365.800000000003</v>
      </c>
      <c r="E22" s="3312">
        <v>115824.24</v>
      </c>
      <c r="F22" s="3313" t="s">
        <v>3073</v>
      </c>
      <c r="G22" s="3312">
        <f t="shared" si="0"/>
        <v>2.8</v>
      </c>
      <c r="H22" s="3312" t="s">
        <v>3074</v>
      </c>
      <c r="I22" s="3312" t="s">
        <v>3050</v>
      </c>
      <c r="J22" s="3312" t="s">
        <v>3075</v>
      </c>
      <c r="K22" s="3312" t="s">
        <v>3075</v>
      </c>
      <c r="L22" s="3312">
        <v>13074</v>
      </c>
      <c r="M22" s="3312">
        <v>13074</v>
      </c>
      <c r="N22" s="3312">
        <v>1128.77</v>
      </c>
      <c r="O22" s="3312">
        <v>0</v>
      </c>
      <c r="P22" s="3312" t="s">
        <v>3063</v>
      </c>
      <c r="Q22" s="3312" t="s">
        <v>3053</v>
      </c>
    </row>
    <row r="23" spans="1:17" ht="40.5" hidden="1">
      <c r="A23" s="3313" t="s">
        <v>3076</v>
      </c>
      <c r="B23" s="3312" t="s">
        <v>3024</v>
      </c>
      <c r="C23" s="3312" t="s">
        <v>3025</v>
      </c>
      <c r="D23" s="3312">
        <v>50051</v>
      </c>
      <c r="E23" s="3312">
        <v>140142.79999999999</v>
      </c>
      <c r="F23" s="3313" t="s">
        <v>3073</v>
      </c>
      <c r="G23" s="3312">
        <f t="shared" si="0"/>
        <v>2.8</v>
      </c>
      <c r="H23" s="3312" t="s">
        <v>3074</v>
      </c>
      <c r="I23" s="3312" t="s">
        <v>3050</v>
      </c>
      <c r="J23" s="3312" t="s">
        <v>3075</v>
      </c>
      <c r="K23" s="3312" t="s">
        <v>3075</v>
      </c>
      <c r="L23" s="3312">
        <v>15503</v>
      </c>
      <c r="M23" s="3312">
        <v>15503</v>
      </c>
      <c r="N23" s="3312">
        <v>1106.23</v>
      </c>
      <c r="O23" s="3312">
        <v>0</v>
      </c>
      <c r="P23" s="3312" t="s">
        <v>3063</v>
      </c>
      <c r="Q23" s="3312" t="s">
        <v>3053</v>
      </c>
    </row>
    <row r="24" spans="1:17" ht="40.5" hidden="1">
      <c r="A24" s="3313" t="s">
        <v>3077</v>
      </c>
      <c r="B24" s="3312" t="s">
        <v>3024</v>
      </c>
      <c r="C24" s="3312" t="s">
        <v>3025</v>
      </c>
      <c r="D24" s="3312">
        <v>54553</v>
      </c>
      <c r="E24" s="3312">
        <v>152748.4</v>
      </c>
      <c r="F24" s="3313" t="s">
        <v>3073</v>
      </c>
      <c r="G24" s="3312">
        <f t="shared" si="0"/>
        <v>2.8</v>
      </c>
      <c r="H24" s="3312" t="s">
        <v>3074</v>
      </c>
      <c r="I24" s="3312" t="s">
        <v>3050</v>
      </c>
      <c r="J24" s="3312" t="s">
        <v>3075</v>
      </c>
      <c r="K24" s="3312" t="s">
        <v>3075</v>
      </c>
      <c r="L24" s="3312">
        <v>16898</v>
      </c>
      <c r="M24" s="3312">
        <v>16898</v>
      </c>
      <c r="N24" s="3312">
        <v>1106.25</v>
      </c>
      <c r="O24" s="3312">
        <v>0</v>
      </c>
      <c r="P24" s="3312" t="s">
        <v>3063</v>
      </c>
      <c r="Q24" s="3312" t="s">
        <v>3053</v>
      </c>
    </row>
    <row r="25" spans="1:17" ht="27" hidden="1">
      <c r="A25" s="3313" t="s">
        <v>3078</v>
      </c>
      <c r="B25" s="3312" t="s">
        <v>3024</v>
      </c>
      <c r="C25" s="3312" t="s">
        <v>3025</v>
      </c>
      <c r="D25" s="3312">
        <v>51285.02</v>
      </c>
      <c r="E25" s="3312">
        <v>153855.06</v>
      </c>
      <c r="F25" s="3313" t="s">
        <v>3026</v>
      </c>
      <c r="G25" s="3312">
        <f t="shared" si="0"/>
        <v>3</v>
      </c>
      <c r="H25" s="3312" t="s">
        <v>3027</v>
      </c>
      <c r="I25" s="3312" t="s">
        <v>3050</v>
      </c>
      <c r="J25" s="3312" t="s">
        <v>3079</v>
      </c>
      <c r="K25" s="3312" t="s">
        <v>3079</v>
      </c>
      <c r="L25" s="3312">
        <v>10900</v>
      </c>
      <c r="M25" s="3312">
        <v>10900</v>
      </c>
      <c r="N25" s="3312">
        <v>708.46</v>
      </c>
      <c r="O25" s="3312">
        <v>0</v>
      </c>
      <c r="P25" s="3312" t="s">
        <v>3080</v>
      </c>
      <c r="Q25" s="3312" t="s">
        <v>3053</v>
      </c>
    </row>
    <row r="26" spans="1:17" ht="27" hidden="1">
      <c r="A26" s="3313" t="s">
        <v>3081</v>
      </c>
      <c r="B26" s="3312" t="s">
        <v>3024</v>
      </c>
      <c r="C26" s="3312" t="s">
        <v>3025</v>
      </c>
      <c r="D26" s="3312">
        <v>19240.099999999999</v>
      </c>
      <c r="E26" s="3312">
        <v>57720.3</v>
      </c>
      <c r="F26" s="3313" t="s">
        <v>3026</v>
      </c>
      <c r="G26" s="3312">
        <f t="shared" si="0"/>
        <v>3</v>
      </c>
      <c r="H26" s="3312" t="s">
        <v>3027</v>
      </c>
      <c r="I26" s="3312" t="s">
        <v>3050</v>
      </c>
      <c r="J26" s="3312" t="s">
        <v>3079</v>
      </c>
      <c r="K26" s="3312" t="s">
        <v>3079</v>
      </c>
      <c r="L26" s="3312">
        <v>4420</v>
      </c>
      <c r="M26" s="3312">
        <v>4420</v>
      </c>
      <c r="N26" s="3312">
        <v>765.75</v>
      </c>
      <c r="O26" s="3312">
        <v>0</v>
      </c>
      <c r="P26" s="3312" t="s">
        <v>3080</v>
      </c>
      <c r="Q26" s="3312" t="s">
        <v>3053</v>
      </c>
    </row>
    <row r="27" spans="1:17" ht="27" hidden="1">
      <c r="A27" s="3313" t="s">
        <v>3082</v>
      </c>
      <c r="B27" s="3312" t="s">
        <v>3024</v>
      </c>
      <c r="C27" s="3312" t="s">
        <v>3025</v>
      </c>
      <c r="D27" s="3312">
        <v>3023.12</v>
      </c>
      <c r="E27" s="3312">
        <v>9069.36</v>
      </c>
      <c r="F27" s="3313" t="s">
        <v>3026</v>
      </c>
      <c r="G27" s="3312">
        <f t="shared" si="0"/>
        <v>3</v>
      </c>
      <c r="H27" s="3312" t="s">
        <v>3027</v>
      </c>
      <c r="I27" s="3312" t="s">
        <v>3050</v>
      </c>
      <c r="J27" s="3312" t="s">
        <v>3079</v>
      </c>
      <c r="K27" s="3312" t="s">
        <v>3079</v>
      </c>
      <c r="L27" s="3312">
        <v>730</v>
      </c>
      <c r="M27" s="3312">
        <v>730</v>
      </c>
      <c r="N27" s="3312">
        <v>804.9</v>
      </c>
      <c r="O27" s="3312">
        <v>0</v>
      </c>
      <c r="P27" s="3312" t="s">
        <v>3080</v>
      </c>
      <c r="Q27" s="3312" t="s">
        <v>3053</v>
      </c>
    </row>
    <row r="28" spans="1:17" ht="27" hidden="1">
      <c r="A28" s="3313" t="s">
        <v>3083</v>
      </c>
      <c r="B28" s="3312" t="s">
        <v>3024</v>
      </c>
      <c r="C28" s="3312" t="s">
        <v>3025</v>
      </c>
      <c r="D28" s="3312">
        <v>23763.22</v>
      </c>
      <c r="E28" s="3312">
        <v>71289.66</v>
      </c>
      <c r="F28" s="3313" t="s">
        <v>3026</v>
      </c>
      <c r="G28" s="3312">
        <f t="shared" si="0"/>
        <v>3</v>
      </c>
      <c r="H28" s="3312" t="s">
        <v>3027</v>
      </c>
      <c r="I28" s="3312" t="s">
        <v>3050</v>
      </c>
      <c r="J28" s="3312" t="s">
        <v>3079</v>
      </c>
      <c r="K28" s="3312" t="s">
        <v>3079</v>
      </c>
      <c r="L28" s="3312">
        <v>5390</v>
      </c>
      <c r="M28" s="3312">
        <v>5390</v>
      </c>
      <c r="N28" s="3312">
        <v>756.07</v>
      </c>
      <c r="O28" s="3312">
        <v>0</v>
      </c>
      <c r="P28" s="3312" t="s">
        <v>3080</v>
      </c>
      <c r="Q28" s="3312" t="s">
        <v>3053</v>
      </c>
    </row>
    <row r="29" spans="1:17" ht="40.5" hidden="1">
      <c r="A29" s="3313" t="s">
        <v>3084</v>
      </c>
      <c r="B29" s="3312" t="s">
        <v>3024</v>
      </c>
      <c r="C29" s="3312" t="s">
        <v>3025</v>
      </c>
      <c r="D29" s="3312">
        <v>13125.18</v>
      </c>
      <c r="E29" s="3312">
        <v>45938.13</v>
      </c>
      <c r="F29" s="3313" t="s">
        <v>3085</v>
      </c>
      <c r="G29" s="3312">
        <f t="shared" si="0"/>
        <v>3.5</v>
      </c>
      <c r="H29" s="3312" t="s">
        <v>3027</v>
      </c>
      <c r="I29" s="3312" t="s">
        <v>3050</v>
      </c>
      <c r="J29" s="3312" t="s">
        <v>3086</v>
      </c>
      <c r="K29" s="3312" t="s">
        <v>3086</v>
      </c>
      <c r="L29" s="3312">
        <v>5350</v>
      </c>
      <c r="M29" s="3312">
        <v>7350</v>
      </c>
      <c r="N29" s="3312">
        <v>1599.98</v>
      </c>
      <c r="O29" s="3312">
        <v>37.380000000000003</v>
      </c>
      <c r="P29" s="3312" t="s">
        <v>3087</v>
      </c>
      <c r="Q29" s="3312" t="s">
        <v>3053</v>
      </c>
    </row>
    <row r="30" spans="1:17" ht="40.5" hidden="1">
      <c r="A30" s="3313" t="s">
        <v>3088</v>
      </c>
      <c r="B30" s="3312" t="s">
        <v>3024</v>
      </c>
      <c r="C30" s="3312" t="s">
        <v>3025</v>
      </c>
      <c r="D30" s="3312">
        <v>56154.68</v>
      </c>
      <c r="E30" s="3312">
        <v>80301.19</v>
      </c>
      <c r="F30" s="3313" t="s">
        <v>3089</v>
      </c>
      <c r="G30" s="3312">
        <f t="shared" si="0"/>
        <v>1.43</v>
      </c>
      <c r="H30" s="3312" t="s">
        <v>3027</v>
      </c>
      <c r="I30" s="3312" t="s">
        <v>3050</v>
      </c>
      <c r="J30" s="3312" t="s">
        <v>3086</v>
      </c>
      <c r="K30" s="3312" t="s">
        <v>3086</v>
      </c>
      <c r="L30" s="3312">
        <v>6150</v>
      </c>
      <c r="M30" s="3312">
        <v>6160</v>
      </c>
      <c r="N30" s="3312">
        <v>767.11</v>
      </c>
      <c r="O30" s="3312">
        <v>0.16</v>
      </c>
      <c r="P30" s="3312" t="s">
        <v>3090</v>
      </c>
      <c r="Q30" s="3312" t="s">
        <v>3091</v>
      </c>
    </row>
    <row r="31" spans="1:17" ht="40.5" hidden="1">
      <c r="A31" s="3313" t="s">
        <v>3092</v>
      </c>
      <c r="B31" s="3312" t="s">
        <v>3024</v>
      </c>
      <c r="C31" s="3312" t="s">
        <v>3025</v>
      </c>
      <c r="D31" s="3312">
        <v>24255.54</v>
      </c>
      <c r="E31" s="3312">
        <v>60638.85</v>
      </c>
      <c r="F31" s="3313" t="s">
        <v>3049</v>
      </c>
      <c r="G31" s="3312">
        <f t="shared" si="0"/>
        <v>2.5</v>
      </c>
      <c r="H31" s="3312" t="s">
        <v>3027</v>
      </c>
      <c r="I31" s="3312" t="s">
        <v>3050</v>
      </c>
      <c r="J31" s="3312" t="s">
        <v>3086</v>
      </c>
      <c r="K31" s="3312" t="s">
        <v>3086</v>
      </c>
      <c r="L31" s="3312">
        <v>1350</v>
      </c>
      <c r="M31" s="3312">
        <v>1420</v>
      </c>
      <c r="N31" s="3312">
        <v>234.16</v>
      </c>
      <c r="O31" s="3312">
        <v>5.19</v>
      </c>
      <c r="P31" s="3312" t="s">
        <v>3093</v>
      </c>
      <c r="Q31" s="3312" t="s">
        <v>3094</v>
      </c>
    </row>
    <row r="32" spans="1:17" ht="40.5" hidden="1">
      <c r="A32" s="3313" t="s">
        <v>3095</v>
      </c>
      <c r="B32" s="3312" t="s">
        <v>3024</v>
      </c>
      <c r="C32" s="3312" t="s">
        <v>3025</v>
      </c>
      <c r="D32" s="3312">
        <v>60057.07</v>
      </c>
      <c r="E32" s="3312">
        <v>85881.61</v>
      </c>
      <c r="F32" s="3313" t="s">
        <v>3089</v>
      </c>
      <c r="G32" s="3312">
        <f t="shared" si="0"/>
        <v>1.43</v>
      </c>
      <c r="H32" s="3312" t="s">
        <v>3027</v>
      </c>
      <c r="I32" s="3312" t="s">
        <v>3050</v>
      </c>
      <c r="J32" s="3312" t="s">
        <v>3086</v>
      </c>
      <c r="K32" s="3312" t="s">
        <v>3086</v>
      </c>
      <c r="L32" s="3312">
        <v>6650</v>
      </c>
      <c r="M32" s="3312">
        <v>6660</v>
      </c>
      <c r="N32" s="3312">
        <v>775.49</v>
      </c>
      <c r="O32" s="3312">
        <v>0.15</v>
      </c>
      <c r="P32" s="3312" t="s">
        <v>3090</v>
      </c>
      <c r="Q32" s="3312" t="s">
        <v>3091</v>
      </c>
    </row>
    <row r="33" spans="1:17" ht="40.5" hidden="1">
      <c r="A33" s="3313" t="s">
        <v>3096</v>
      </c>
      <c r="B33" s="3312" t="s">
        <v>3024</v>
      </c>
      <c r="C33" s="3312" t="s">
        <v>3025</v>
      </c>
      <c r="D33" s="3312">
        <v>27497.25</v>
      </c>
      <c r="E33" s="3312">
        <v>82491.75</v>
      </c>
      <c r="F33" s="3313" t="s">
        <v>3055</v>
      </c>
      <c r="G33" s="3312">
        <f t="shared" si="0"/>
        <v>3</v>
      </c>
      <c r="H33" s="3312" t="s">
        <v>3027</v>
      </c>
      <c r="I33" s="3312" t="s">
        <v>3050</v>
      </c>
      <c r="J33" s="3312" t="s">
        <v>3086</v>
      </c>
      <c r="K33" s="3312" t="s">
        <v>3086</v>
      </c>
      <c r="L33" s="3312">
        <v>4170</v>
      </c>
      <c r="M33" s="3312">
        <v>4180</v>
      </c>
      <c r="N33" s="3312">
        <v>506.72</v>
      </c>
      <c r="O33" s="3312">
        <v>0.24</v>
      </c>
      <c r="P33" s="3312" t="s">
        <v>3097</v>
      </c>
      <c r="Q33" s="3312" t="s">
        <v>3064</v>
      </c>
    </row>
    <row r="34" spans="1:17" ht="40.5" hidden="1">
      <c r="A34" s="3313" t="s">
        <v>3098</v>
      </c>
      <c r="B34" s="3312" t="s">
        <v>3024</v>
      </c>
      <c r="C34" s="3312" t="s">
        <v>3025</v>
      </c>
      <c r="D34" s="3312">
        <v>46987</v>
      </c>
      <c r="E34" s="3312">
        <v>131563.6</v>
      </c>
      <c r="F34" s="3313" t="s">
        <v>3073</v>
      </c>
      <c r="G34" s="3312">
        <f t="shared" si="0"/>
        <v>2.8</v>
      </c>
      <c r="H34" s="3312" t="s">
        <v>3074</v>
      </c>
      <c r="I34" s="3312" t="s">
        <v>3050</v>
      </c>
      <c r="J34" s="3312" t="s">
        <v>3099</v>
      </c>
      <c r="K34" s="3312" t="s">
        <v>3099</v>
      </c>
      <c r="L34" s="3312">
        <v>15224</v>
      </c>
      <c r="M34" s="3312">
        <v>15224</v>
      </c>
      <c r="N34" s="3312">
        <v>1157.1600000000001</v>
      </c>
      <c r="O34" s="3312">
        <v>0</v>
      </c>
      <c r="P34" s="3312" t="s">
        <v>3063</v>
      </c>
      <c r="Q34" s="3312" t="s">
        <v>3064</v>
      </c>
    </row>
    <row r="35" spans="1:17" ht="40.5" hidden="1">
      <c r="A35" s="3313" t="s">
        <v>3100</v>
      </c>
      <c r="B35" s="3312" t="s">
        <v>3024</v>
      </c>
      <c r="C35" s="3312" t="s">
        <v>3025</v>
      </c>
      <c r="D35" s="3312">
        <v>50322</v>
      </c>
      <c r="E35" s="3312">
        <v>140901.6</v>
      </c>
      <c r="F35" s="3313" t="s">
        <v>3073</v>
      </c>
      <c r="G35" s="3312">
        <f t="shared" si="0"/>
        <v>2.8</v>
      </c>
      <c r="H35" s="3312" t="s">
        <v>3074</v>
      </c>
      <c r="I35" s="3312" t="s">
        <v>3050</v>
      </c>
      <c r="J35" s="3312" t="s">
        <v>3099</v>
      </c>
      <c r="K35" s="3312" t="s">
        <v>3099</v>
      </c>
      <c r="L35" s="3312">
        <v>16304</v>
      </c>
      <c r="M35" s="3312">
        <v>16304</v>
      </c>
      <c r="N35" s="3312">
        <v>1157.1099999999999</v>
      </c>
      <c r="O35" s="3312">
        <v>0</v>
      </c>
      <c r="P35" s="3312" t="s">
        <v>3063</v>
      </c>
      <c r="Q35" s="3312" t="s">
        <v>3064</v>
      </c>
    </row>
    <row r="36" spans="1:17" ht="40.5" hidden="1">
      <c r="A36" s="3313" t="s">
        <v>3101</v>
      </c>
      <c r="B36" s="3312" t="s">
        <v>3024</v>
      </c>
      <c r="C36" s="3312" t="s">
        <v>3025</v>
      </c>
      <c r="D36" s="3312">
        <v>47129</v>
      </c>
      <c r="E36" s="3312">
        <v>131961.20000000001</v>
      </c>
      <c r="F36" s="3313" t="s">
        <v>3073</v>
      </c>
      <c r="G36" s="3312">
        <f t="shared" si="0"/>
        <v>2.8</v>
      </c>
      <c r="H36" s="3312" t="s">
        <v>3074</v>
      </c>
      <c r="I36" s="3312" t="s">
        <v>3050</v>
      </c>
      <c r="J36" s="3312" t="s">
        <v>3099</v>
      </c>
      <c r="K36" s="3312" t="s">
        <v>3099</v>
      </c>
      <c r="L36" s="3312">
        <v>15270</v>
      </c>
      <c r="M36" s="3312">
        <v>15280</v>
      </c>
      <c r="N36" s="3312">
        <v>1157.92</v>
      </c>
      <c r="O36" s="3312">
        <v>7.0000000000000007E-2</v>
      </c>
      <c r="P36" s="3312" t="s">
        <v>3063</v>
      </c>
      <c r="Q36" s="3312" t="s">
        <v>3064</v>
      </c>
    </row>
    <row r="37" spans="1:17" s="3321" customFormat="1">
      <c r="A37" s="3319" t="s">
        <v>3102</v>
      </c>
      <c r="B37" s="3320" t="s">
        <v>3024</v>
      </c>
      <c r="C37" s="3320" t="s">
        <v>3103</v>
      </c>
      <c r="D37" s="3320">
        <v>7640.88</v>
      </c>
      <c r="E37" s="3320">
        <v>19102.2</v>
      </c>
      <c r="F37" s="3319" t="s">
        <v>3104</v>
      </c>
      <c r="G37" s="3320">
        <f t="shared" si="0"/>
        <v>2.5</v>
      </c>
      <c r="H37" s="3320" t="s">
        <v>3027</v>
      </c>
      <c r="I37" s="3312" t="s">
        <v>3105</v>
      </c>
      <c r="J37" s="3312" t="s">
        <v>3106</v>
      </c>
      <c r="K37" s="3320" t="s">
        <v>3106</v>
      </c>
      <c r="L37" s="3320">
        <v>2292</v>
      </c>
      <c r="M37" s="3320">
        <v>2292</v>
      </c>
      <c r="N37" s="3320">
        <v>1200</v>
      </c>
      <c r="O37" s="3320">
        <v>0</v>
      </c>
      <c r="P37" s="3320" t="s">
        <v>3080</v>
      </c>
      <c r="Q37" s="3320" t="s">
        <v>3053</v>
      </c>
    </row>
    <row r="38" spans="1:17" hidden="1">
      <c r="A38" s="3313" t="s">
        <v>3207</v>
      </c>
      <c r="B38" s="3312" t="s">
        <v>3024</v>
      </c>
      <c r="C38" s="3312" t="s">
        <v>3103</v>
      </c>
      <c r="D38" s="3312">
        <v>41412.449999999997</v>
      </c>
      <c r="E38" s="3312">
        <v>62118.67</v>
      </c>
      <c r="F38" s="3313" t="s">
        <v>3208</v>
      </c>
      <c r="G38" s="3312">
        <f t="shared" si="0"/>
        <v>1.5</v>
      </c>
      <c r="H38" s="3312" t="s">
        <v>3027</v>
      </c>
      <c r="I38" s="3312" t="s">
        <v>3105</v>
      </c>
      <c r="J38" s="3312" t="s">
        <v>3209</v>
      </c>
      <c r="K38" s="3312" t="s">
        <v>3209</v>
      </c>
      <c r="L38" s="3312">
        <v>8950</v>
      </c>
      <c r="M38" s="3312">
        <v>9210</v>
      </c>
      <c r="N38" s="3312">
        <v>1482.65</v>
      </c>
      <c r="O38" s="3312">
        <v>2.91</v>
      </c>
      <c r="P38" s="3312" t="s">
        <v>3210</v>
      </c>
      <c r="Q38" s="3312" t="s">
        <v>3053</v>
      </c>
    </row>
    <row r="39" spans="1:17" hidden="1">
      <c r="A39" s="3313" t="s">
        <v>3211</v>
      </c>
      <c r="B39" s="3312" t="s">
        <v>3024</v>
      </c>
      <c r="C39" s="3312" t="s">
        <v>3025</v>
      </c>
      <c r="D39" s="3312">
        <v>33455.410000000003</v>
      </c>
      <c r="E39" s="3312">
        <v>143858.26</v>
      </c>
      <c r="F39" s="3313" t="s">
        <v>3212</v>
      </c>
      <c r="G39" s="3312">
        <f t="shared" si="0"/>
        <v>4.3</v>
      </c>
      <c r="H39" s="3312" t="s">
        <v>3027</v>
      </c>
      <c r="I39" s="3312" t="s">
        <v>914</v>
      </c>
      <c r="J39" s="3312" t="s">
        <v>3209</v>
      </c>
      <c r="K39" s="3312" t="s">
        <v>3209</v>
      </c>
      <c r="L39" s="3312">
        <v>15400</v>
      </c>
      <c r="M39" s="3312">
        <v>15530</v>
      </c>
      <c r="N39" s="3312">
        <v>1079.52</v>
      </c>
      <c r="O39" s="3312">
        <v>0.84</v>
      </c>
      <c r="P39" s="3312" t="s">
        <v>3213</v>
      </c>
      <c r="Q39" s="3312" t="s">
        <v>3053</v>
      </c>
    </row>
    <row r="40" spans="1:17" hidden="1">
      <c r="A40" s="3313" t="s">
        <v>3214</v>
      </c>
      <c r="B40" s="3312" t="s">
        <v>3024</v>
      </c>
      <c r="C40" s="3312" t="s">
        <v>3103</v>
      </c>
      <c r="D40" s="3312">
        <v>34614.03</v>
      </c>
      <c r="E40" s="3312">
        <v>51921.04</v>
      </c>
      <c r="F40" s="3313" t="s">
        <v>3208</v>
      </c>
      <c r="G40" s="3312">
        <f t="shared" si="0"/>
        <v>1.5</v>
      </c>
      <c r="H40" s="3312" t="s">
        <v>3027</v>
      </c>
      <c r="I40" s="3312" t="s">
        <v>3105</v>
      </c>
      <c r="J40" s="3312" t="s">
        <v>3209</v>
      </c>
      <c r="K40" s="3312" t="s">
        <v>3209</v>
      </c>
      <c r="L40" s="3312">
        <v>7500</v>
      </c>
      <c r="M40" s="3312">
        <v>7720</v>
      </c>
      <c r="N40" s="3312">
        <v>1486.86</v>
      </c>
      <c r="O40" s="3312">
        <v>2.93</v>
      </c>
      <c r="P40" s="3312" t="s">
        <v>3210</v>
      </c>
      <c r="Q40" s="3312" t="s">
        <v>3053</v>
      </c>
    </row>
    <row r="41" spans="1:17" hidden="1">
      <c r="A41" s="3313" t="s">
        <v>3215</v>
      </c>
      <c r="B41" s="3312" t="s">
        <v>3024</v>
      </c>
      <c r="C41" s="3312" t="s">
        <v>3025</v>
      </c>
      <c r="D41" s="3312">
        <v>21188.400000000001</v>
      </c>
      <c r="E41" s="3312">
        <v>42376.800000000003</v>
      </c>
      <c r="F41" s="3313" t="s">
        <v>3216</v>
      </c>
      <c r="G41" s="3312">
        <f t="shared" si="0"/>
        <v>2</v>
      </c>
      <c r="H41" s="3312" t="s">
        <v>3027</v>
      </c>
      <c r="I41" s="3312" t="s">
        <v>914</v>
      </c>
      <c r="J41" s="3312" t="s">
        <v>3217</v>
      </c>
      <c r="K41" s="3312" t="s">
        <v>3217</v>
      </c>
      <c r="L41" s="3312">
        <v>6800</v>
      </c>
      <c r="M41" s="3312">
        <v>6810</v>
      </c>
      <c r="N41" s="3312">
        <v>1607</v>
      </c>
      <c r="O41" s="3312">
        <v>0.15</v>
      </c>
      <c r="P41" s="3312" t="s">
        <v>3210</v>
      </c>
      <c r="Q41" s="3312" t="s">
        <v>3053</v>
      </c>
    </row>
    <row r="42" spans="1:17" hidden="1">
      <c r="A42" s="3313" t="s">
        <v>3218</v>
      </c>
      <c r="B42" s="3312" t="s">
        <v>3024</v>
      </c>
      <c r="C42" s="3312" t="s">
        <v>3025</v>
      </c>
      <c r="D42" s="3312">
        <v>41032.92</v>
      </c>
      <c r="E42" s="3312">
        <v>102582.3</v>
      </c>
      <c r="F42" s="3313" t="s">
        <v>3219</v>
      </c>
      <c r="G42" s="3312">
        <f t="shared" si="0"/>
        <v>2.5</v>
      </c>
      <c r="H42" s="3312" t="s">
        <v>3027</v>
      </c>
      <c r="I42" s="3312" t="s">
        <v>914</v>
      </c>
      <c r="J42" s="3312" t="s">
        <v>3217</v>
      </c>
      <c r="K42" s="3312" t="s">
        <v>3217</v>
      </c>
      <c r="L42" s="3312">
        <v>15200</v>
      </c>
      <c r="M42" s="3312">
        <v>15210</v>
      </c>
      <c r="N42" s="3312">
        <v>1482.71</v>
      </c>
      <c r="O42" s="3312">
        <v>7.0000000000000007E-2</v>
      </c>
      <c r="P42" s="3312" t="s">
        <v>3210</v>
      </c>
      <c r="Q42" s="3312" t="s">
        <v>3053</v>
      </c>
    </row>
    <row r="43" spans="1:17" s="3321" customFormat="1" ht="27">
      <c r="A43" s="3319" t="s">
        <v>3220</v>
      </c>
      <c r="B43" s="3320" t="s">
        <v>3024</v>
      </c>
      <c r="C43" s="3320" t="s">
        <v>3025</v>
      </c>
      <c r="D43" s="3320">
        <v>28631</v>
      </c>
      <c r="E43" s="3320">
        <v>71577.5</v>
      </c>
      <c r="F43" s="3319" t="s">
        <v>3221</v>
      </c>
      <c r="G43" s="3320">
        <f t="shared" si="0"/>
        <v>2.5</v>
      </c>
      <c r="H43" s="3320" t="s">
        <v>3027</v>
      </c>
      <c r="I43" s="3312" t="s">
        <v>3050</v>
      </c>
      <c r="J43" s="3312" t="s">
        <v>3222</v>
      </c>
      <c r="K43" s="3320" t="s">
        <v>3222</v>
      </c>
      <c r="L43" s="3320">
        <v>9167</v>
      </c>
      <c r="M43" s="3320">
        <v>9167</v>
      </c>
      <c r="N43" s="3320">
        <v>1281</v>
      </c>
      <c r="O43" s="3320">
        <v>0</v>
      </c>
      <c r="P43" s="3320" t="s">
        <v>3063</v>
      </c>
      <c r="Q43" s="3320" t="s">
        <v>3053</v>
      </c>
    </row>
    <row r="44" spans="1:17" s="3321" customFormat="1" ht="27">
      <c r="A44" s="3319" t="s">
        <v>3223</v>
      </c>
      <c r="B44" s="3320" t="s">
        <v>3024</v>
      </c>
      <c r="C44" s="3320" t="s">
        <v>3025</v>
      </c>
      <c r="D44" s="3320">
        <v>42108</v>
      </c>
      <c r="E44" s="3320">
        <v>105270</v>
      </c>
      <c r="F44" s="3319" t="s">
        <v>3221</v>
      </c>
      <c r="G44" s="3320">
        <f t="shared" si="0"/>
        <v>2.5</v>
      </c>
      <c r="H44" s="3320" t="s">
        <v>3027</v>
      </c>
      <c r="I44" s="3312" t="s">
        <v>3050</v>
      </c>
      <c r="J44" s="3312" t="s">
        <v>3222</v>
      </c>
      <c r="K44" s="3320" t="s">
        <v>3222</v>
      </c>
      <c r="L44" s="3320">
        <v>13414</v>
      </c>
      <c r="M44" s="3320">
        <v>13414</v>
      </c>
      <c r="N44" s="3320">
        <v>1274</v>
      </c>
      <c r="O44" s="3320">
        <v>0</v>
      </c>
      <c r="P44" s="3320" t="s">
        <v>3063</v>
      </c>
      <c r="Q44" s="3320" t="s">
        <v>3053</v>
      </c>
    </row>
    <row r="45" spans="1:17" ht="40.5" hidden="1">
      <c r="A45" s="3313" t="s">
        <v>3224</v>
      </c>
      <c r="B45" s="3312" t="s">
        <v>3024</v>
      </c>
      <c r="C45" s="3312" t="s">
        <v>3025</v>
      </c>
      <c r="D45" s="3312">
        <v>45324</v>
      </c>
      <c r="E45" s="3312">
        <v>54388.800000000003</v>
      </c>
      <c r="F45" s="3313" t="s">
        <v>3225</v>
      </c>
      <c r="G45" s="3312">
        <f t="shared" si="0"/>
        <v>1.2</v>
      </c>
      <c r="H45" s="3312" t="s">
        <v>3027</v>
      </c>
      <c r="I45" s="3312" t="s">
        <v>3050</v>
      </c>
      <c r="J45" s="3312" t="s">
        <v>3226</v>
      </c>
      <c r="K45" s="3312" t="s">
        <v>3226</v>
      </c>
      <c r="L45" s="3312">
        <v>2060</v>
      </c>
      <c r="M45" s="3312">
        <v>2060</v>
      </c>
      <c r="N45" s="3312">
        <v>378.75</v>
      </c>
      <c r="O45" s="3312">
        <v>0</v>
      </c>
      <c r="P45" s="3312" t="s">
        <v>3227</v>
      </c>
      <c r="Q45" s="3312" t="s">
        <v>3228</v>
      </c>
    </row>
    <row r="46" spans="1:17" ht="40.5" hidden="1">
      <c r="A46" s="3313" t="s">
        <v>3229</v>
      </c>
      <c r="B46" s="3312" t="s">
        <v>3024</v>
      </c>
      <c r="C46" s="3312" t="s">
        <v>3025</v>
      </c>
      <c r="D46" s="3312">
        <v>61155</v>
      </c>
      <c r="E46" s="3312">
        <v>73386</v>
      </c>
      <c r="F46" s="3313" t="s">
        <v>3225</v>
      </c>
      <c r="G46" s="3312">
        <f t="shared" si="0"/>
        <v>1.2</v>
      </c>
      <c r="H46" s="3312" t="s">
        <v>3027</v>
      </c>
      <c r="I46" s="3312" t="s">
        <v>3050</v>
      </c>
      <c r="J46" s="3312" t="s">
        <v>3226</v>
      </c>
      <c r="K46" s="3312" t="s">
        <v>3226</v>
      </c>
      <c r="L46" s="3312">
        <v>2650</v>
      </c>
      <c r="M46" s="3312">
        <v>2650</v>
      </c>
      <c r="N46" s="3312">
        <v>361.1</v>
      </c>
      <c r="O46" s="3312">
        <v>0</v>
      </c>
      <c r="P46" s="3312" t="s">
        <v>3227</v>
      </c>
      <c r="Q46" s="3312" t="s">
        <v>3228</v>
      </c>
    </row>
    <row r="47" spans="1:17" ht="40.5" hidden="1">
      <c r="A47" s="3313" t="s">
        <v>3230</v>
      </c>
      <c r="B47" s="3312" t="s">
        <v>3024</v>
      </c>
      <c r="C47" s="3312" t="s">
        <v>3025</v>
      </c>
      <c r="D47" s="3312">
        <v>51690</v>
      </c>
      <c r="E47" s="3312">
        <v>62028</v>
      </c>
      <c r="F47" s="3313" t="s">
        <v>3225</v>
      </c>
      <c r="G47" s="3312">
        <f t="shared" si="0"/>
        <v>1.2</v>
      </c>
      <c r="H47" s="3312" t="s">
        <v>3027</v>
      </c>
      <c r="I47" s="3312" t="s">
        <v>3050</v>
      </c>
      <c r="J47" s="3312" t="s">
        <v>3226</v>
      </c>
      <c r="K47" s="3312" t="s">
        <v>3226</v>
      </c>
      <c r="L47" s="3312">
        <v>2100</v>
      </c>
      <c r="M47" s="3312">
        <v>2100</v>
      </c>
      <c r="N47" s="3312">
        <v>338.56</v>
      </c>
      <c r="O47" s="3312">
        <v>0</v>
      </c>
      <c r="P47" s="3312" t="s">
        <v>3227</v>
      </c>
      <c r="Q47" s="3312" t="s">
        <v>3228</v>
      </c>
    </row>
    <row r="48" spans="1:17" ht="40.5" hidden="1">
      <c r="A48" s="3313" t="s">
        <v>3231</v>
      </c>
      <c r="B48" s="3312" t="s">
        <v>3024</v>
      </c>
      <c r="C48" s="3312" t="s">
        <v>3025</v>
      </c>
      <c r="D48" s="3312">
        <v>58142</v>
      </c>
      <c r="E48" s="3312">
        <v>69770.399999999994</v>
      </c>
      <c r="F48" s="3313" t="s">
        <v>3225</v>
      </c>
      <c r="G48" s="3312">
        <f t="shared" si="0"/>
        <v>1.2</v>
      </c>
      <c r="H48" s="3312" t="s">
        <v>3027</v>
      </c>
      <c r="I48" s="3312" t="s">
        <v>3050</v>
      </c>
      <c r="J48" s="3312" t="s">
        <v>3226</v>
      </c>
      <c r="K48" s="3312" t="s">
        <v>3226</v>
      </c>
      <c r="L48" s="3312">
        <v>2290</v>
      </c>
      <c r="M48" s="3312">
        <v>2290</v>
      </c>
      <c r="N48" s="3312">
        <v>328.22</v>
      </c>
      <c r="O48" s="3312">
        <v>0</v>
      </c>
      <c r="P48" s="3312" t="s">
        <v>3227</v>
      </c>
      <c r="Q48" s="3312" t="s">
        <v>3228</v>
      </c>
    </row>
    <row r="49" spans="1:17" ht="40.5" hidden="1">
      <c r="A49" s="3313" t="s">
        <v>3232</v>
      </c>
      <c r="B49" s="3312" t="s">
        <v>3024</v>
      </c>
      <c r="C49" s="3312" t="s">
        <v>3025</v>
      </c>
      <c r="D49" s="3312">
        <v>64103</v>
      </c>
      <c r="E49" s="3312">
        <v>70513.3</v>
      </c>
      <c r="F49" s="3313" t="s">
        <v>3233</v>
      </c>
      <c r="G49" s="3312">
        <f t="shared" si="0"/>
        <v>1.1000000000000001</v>
      </c>
      <c r="H49" s="3312" t="s">
        <v>3027</v>
      </c>
      <c r="I49" s="3312" t="s">
        <v>3050</v>
      </c>
      <c r="J49" s="3312" t="s">
        <v>3234</v>
      </c>
      <c r="K49" s="3312" t="s">
        <v>3234</v>
      </c>
      <c r="L49" s="3312">
        <v>3550</v>
      </c>
      <c r="M49" s="3312">
        <v>4140</v>
      </c>
      <c r="N49" s="3312">
        <v>587.12</v>
      </c>
      <c r="O49" s="3312">
        <v>16.62</v>
      </c>
      <c r="P49" s="3312" t="s">
        <v>3235</v>
      </c>
      <c r="Q49" s="3312" t="s">
        <v>3053</v>
      </c>
    </row>
    <row r="50" spans="1:17" ht="40.5" hidden="1">
      <c r="A50" s="3313" t="s">
        <v>3236</v>
      </c>
      <c r="B50" s="3312" t="s">
        <v>3024</v>
      </c>
      <c r="C50" s="3312" t="s">
        <v>3025</v>
      </c>
      <c r="D50" s="3312">
        <v>61832.45</v>
      </c>
      <c r="E50" s="3312">
        <v>185497.35</v>
      </c>
      <c r="F50" s="3313" t="s">
        <v>3055</v>
      </c>
      <c r="G50" s="3312">
        <f t="shared" si="0"/>
        <v>3</v>
      </c>
      <c r="H50" s="3312" t="s">
        <v>3027</v>
      </c>
      <c r="I50" s="3312" t="s">
        <v>3050</v>
      </c>
      <c r="J50" s="3312" t="s">
        <v>3234</v>
      </c>
      <c r="K50" s="3312" t="s">
        <v>3234</v>
      </c>
      <c r="L50" s="3312">
        <v>9700</v>
      </c>
      <c r="M50" s="3312">
        <v>10030</v>
      </c>
      <c r="N50" s="3312">
        <v>540.71</v>
      </c>
      <c r="O50" s="3312">
        <v>3.4</v>
      </c>
      <c r="P50" s="3312" t="s">
        <v>2990</v>
      </c>
      <c r="Q50" s="3312" t="s">
        <v>3053</v>
      </c>
    </row>
    <row r="51" spans="1:17" ht="40.5" hidden="1">
      <c r="A51" s="3313" t="s">
        <v>3237</v>
      </c>
      <c r="B51" s="3312" t="s">
        <v>3024</v>
      </c>
      <c r="C51" s="3312" t="s">
        <v>3025</v>
      </c>
      <c r="D51" s="3312">
        <v>53831</v>
      </c>
      <c r="E51" s="3312">
        <v>134577.5</v>
      </c>
      <c r="F51" s="3313" t="s">
        <v>3049</v>
      </c>
      <c r="G51" s="3312">
        <f t="shared" si="0"/>
        <v>2.5</v>
      </c>
      <c r="H51" s="3312" t="s">
        <v>3027</v>
      </c>
      <c r="I51" s="3312" t="s">
        <v>3050</v>
      </c>
      <c r="J51" s="3312" t="s">
        <v>3234</v>
      </c>
      <c r="K51" s="3312" t="s">
        <v>3234</v>
      </c>
      <c r="L51" s="3312">
        <v>12700</v>
      </c>
      <c r="M51" s="3312">
        <v>13810</v>
      </c>
      <c r="N51" s="3312">
        <v>1026.17</v>
      </c>
      <c r="O51" s="3312">
        <v>8.74</v>
      </c>
      <c r="P51" s="3312" t="s">
        <v>3238</v>
      </c>
      <c r="Q51" s="3312" t="s">
        <v>3091</v>
      </c>
    </row>
    <row r="52" spans="1:17" ht="40.5" hidden="1">
      <c r="A52" s="3313" t="s">
        <v>3239</v>
      </c>
      <c r="B52" s="3312" t="s">
        <v>3024</v>
      </c>
      <c r="C52" s="3312" t="s">
        <v>3025</v>
      </c>
      <c r="D52" s="3312">
        <v>3663.04</v>
      </c>
      <c r="E52" s="3312">
        <v>17582.59</v>
      </c>
      <c r="F52" s="3313" t="s">
        <v>3240</v>
      </c>
      <c r="G52" s="3312">
        <f t="shared" si="0"/>
        <v>4.8</v>
      </c>
      <c r="H52" s="3312" t="s">
        <v>3027</v>
      </c>
      <c r="I52" s="3312" t="s">
        <v>3050</v>
      </c>
      <c r="J52" s="3312" t="s">
        <v>3234</v>
      </c>
      <c r="K52" s="3312" t="s">
        <v>3234</v>
      </c>
      <c r="L52" s="3312">
        <v>2200</v>
      </c>
      <c r="M52" s="3312">
        <v>2260</v>
      </c>
      <c r="N52" s="3312">
        <v>1285.3499999999999</v>
      </c>
      <c r="O52" s="3312">
        <v>2.73</v>
      </c>
      <c r="P52" s="3312" t="s">
        <v>3241</v>
      </c>
      <c r="Q52" s="3312" t="s">
        <v>3053</v>
      </c>
    </row>
    <row r="53" spans="1:17" ht="40.5" hidden="1">
      <c r="A53" s="3313" t="s">
        <v>3242</v>
      </c>
      <c r="B53" s="3312" t="s">
        <v>3024</v>
      </c>
      <c r="C53" s="3312" t="s">
        <v>3025</v>
      </c>
      <c r="D53" s="3312">
        <v>2506</v>
      </c>
      <c r="E53" s="3312">
        <v>10525.2</v>
      </c>
      <c r="F53" s="3313" t="s">
        <v>3243</v>
      </c>
      <c r="G53" s="3312">
        <f t="shared" si="0"/>
        <v>4.2</v>
      </c>
      <c r="H53" s="3312" t="s">
        <v>3027</v>
      </c>
      <c r="I53" s="3312" t="s">
        <v>3050</v>
      </c>
      <c r="J53" s="3312" t="s">
        <v>3234</v>
      </c>
      <c r="K53" s="3312" t="s">
        <v>3234</v>
      </c>
      <c r="L53" s="3312">
        <v>1500</v>
      </c>
      <c r="M53" s="3312">
        <v>1540</v>
      </c>
      <c r="N53" s="3312">
        <v>1463.16</v>
      </c>
      <c r="O53" s="3312">
        <v>2.67</v>
      </c>
      <c r="P53" s="3312" t="s">
        <v>3244</v>
      </c>
      <c r="Q53" s="3312" t="s">
        <v>3053</v>
      </c>
    </row>
    <row r="54" spans="1:17" ht="40.5" hidden="1">
      <c r="A54" s="3313" t="s">
        <v>3245</v>
      </c>
      <c r="B54" s="3312" t="s">
        <v>3024</v>
      </c>
      <c r="C54" s="3312" t="s">
        <v>3025</v>
      </c>
      <c r="D54" s="3312">
        <v>21783</v>
      </c>
      <c r="E54" s="3312">
        <v>87132</v>
      </c>
      <c r="F54" s="3313" t="s">
        <v>3246</v>
      </c>
      <c r="G54" s="3312">
        <f t="shared" si="0"/>
        <v>4</v>
      </c>
      <c r="H54" s="3312" t="s">
        <v>3027</v>
      </c>
      <c r="I54" s="3312" t="s">
        <v>3050</v>
      </c>
      <c r="J54" s="3312" t="s">
        <v>3234</v>
      </c>
      <c r="K54" s="3312" t="s">
        <v>3234</v>
      </c>
      <c r="L54" s="3312">
        <v>8770</v>
      </c>
      <c r="M54" s="3312">
        <v>8840</v>
      </c>
      <c r="N54" s="3312">
        <v>1014.54</v>
      </c>
      <c r="O54" s="3312">
        <v>0.8</v>
      </c>
      <c r="P54" s="3312" t="s">
        <v>3247</v>
      </c>
      <c r="Q54" s="3312" t="s">
        <v>3053</v>
      </c>
    </row>
    <row r="55" spans="1:17" ht="40.5" hidden="1">
      <c r="A55" s="3313" t="s">
        <v>3248</v>
      </c>
      <c r="B55" s="3312" t="s">
        <v>3024</v>
      </c>
      <c r="C55" s="3312" t="s">
        <v>3025</v>
      </c>
      <c r="D55" s="3312">
        <v>44014</v>
      </c>
      <c r="E55" s="3312">
        <v>110035</v>
      </c>
      <c r="F55" s="3313" t="s">
        <v>3049</v>
      </c>
      <c r="G55" s="3312">
        <f t="shared" si="0"/>
        <v>2.5</v>
      </c>
      <c r="H55" s="3312" t="s">
        <v>3027</v>
      </c>
      <c r="I55" s="3312" t="s">
        <v>3050</v>
      </c>
      <c r="J55" s="3312" t="s">
        <v>3234</v>
      </c>
      <c r="K55" s="3312" t="s">
        <v>3234</v>
      </c>
      <c r="L55" s="3312">
        <v>9650</v>
      </c>
      <c r="M55" s="3312">
        <v>10590</v>
      </c>
      <c r="N55" s="3312">
        <v>962.41</v>
      </c>
      <c r="O55" s="3312">
        <v>9.74</v>
      </c>
      <c r="P55" s="3312" t="s">
        <v>3249</v>
      </c>
      <c r="Q55" s="3312" t="s">
        <v>3091</v>
      </c>
    </row>
    <row r="56" spans="1:17" ht="27" hidden="1">
      <c r="A56" s="3313" t="s">
        <v>3250</v>
      </c>
      <c r="B56" s="3312" t="s">
        <v>3024</v>
      </c>
      <c r="C56" s="3312" t="s">
        <v>3025</v>
      </c>
      <c r="D56" s="3312">
        <v>53975</v>
      </c>
      <c r="E56" s="3312">
        <v>134937.5</v>
      </c>
      <c r="F56" s="3313" t="s">
        <v>3221</v>
      </c>
      <c r="G56" s="3312">
        <f t="shared" si="0"/>
        <v>2.5</v>
      </c>
      <c r="H56" s="3312" t="s">
        <v>3027</v>
      </c>
      <c r="I56" s="3312" t="s">
        <v>3050</v>
      </c>
      <c r="J56" s="3312" t="s">
        <v>3251</v>
      </c>
      <c r="K56" s="3312" t="s">
        <v>3251</v>
      </c>
      <c r="L56" s="3312">
        <v>18000</v>
      </c>
      <c r="M56" s="3312">
        <v>18010</v>
      </c>
      <c r="N56" s="3312">
        <v>1334.69</v>
      </c>
      <c r="O56" s="3312">
        <v>0.06</v>
      </c>
      <c r="P56" s="3312" t="s">
        <v>3252</v>
      </c>
      <c r="Q56" s="3312" t="s">
        <v>3053</v>
      </c>
    </row>
    <row r="57" spans="1:17" ht="27" hidden="1">
      <c r="A57" s="3313" t="s">
        <v>3253</v>
      </c>
      <c r="B57" s="3312" t="s">
        <v>3024</v>
      </c>
      <c r="C57" s="3312" t="s">
        <v>3025</v>
      </c>
      <c r="D57" s="3312">
        <v>46061</v>
      </c>
      <c r="E57" s="3312">
        <v>115152.5</v>
      </c>
      <c r="F57" s="3313" t="s">
        <v>3221</v>
      </c>
      <c r="G57" s="3312">
        <f t="shared" si="0"/>
        <v>2.5</v>
      </c>
      <c r="H57" s="3312" t="s">
        <v>3027</v>
      </c>
      <c r="I57" s="3312" t="s">
        <v>3050</v>
      </c>
      <c r="J57" s="3312" t="s">
        <v>3251</v>
      </c>
      <c r="K57" s="3312" t="s">
        <v>3251</v>
      </c>
      <c r="L57" s="3312">
        <v>15400</v>
      </c>
      <c r="M57" s="3312">
        <v>15410</v>
      </c>
      <c r="N57" s="3312">
        <v>1338.23</v>
      </c>
      <c r="O57" s="3312">
        <v>0.06</v>
      </c>
      <c r="P57" s="3312" t="s">
        <v>3252</v>
      </c>
      <c r="Q57" s="3312" t="s">
        <v>3053</v>
      </c>
    </row>
    <row r="58" spans="1:17" ht="27" hidden="1">
      <c r="A58" s="3313" t="s">
        <v>3254</v>
      </c>
      <c r="B58" s="3312" t="s">
        <v>3024</v>
      </c>
      <c r="C58" s="3312" t="s">
        <v>3025</v>
      </c>
      <c r="D58" s="3312">
        <v>49971</v>
      </c>
      <c r="E58" s="3312">
        <v>124927.5</v>
      </c>
      <c r="F58" s="3313" t="s">
        <v>3221</v>
      </c>
      <c r="G58" s="3312">
        <f t="shared" si="0"/>
        <v>2.5</v>
      </c>
      <c r="H58" s="3312" t="s">
        <v>3027</v>
      </c>
      <c r="I58" s="3312" t="s">
        <v>3050</v>
      </c>
      <c r="J58" s="3312" t="s">
        <v>3251</v>
      </c>
      <c r="K58" s="3312" t="s">
        <v>3251</v>
      </c>
      <c r="L58" s="3312">
        <v>16500</v>
      </c>
      <c r="M58" s="3312">
        <v>16510</v>
      </c>
      <c r="N58" s="3312">
        <v>1321.56</v>
      </c>
      <c r="O58" s="3312">
        <v>0.06</v>
      </c>
      <c r="P58" s="3312" t="s">
        <v>3252</v>
      </c>
      <c r="Q58" s="3312" t="s">
        <v>3053</v>
      </c>
    </row>
    <row r="59" spans="1:17" ht="27" hidden="1">
      <c r="A59" s="3313" t="s">
        <v>3255</v>
      </c>
      <c r="B59" s="3312" t="s">
        <v>3024</v>
      </c>
      <c r="C59" s="3312" t="s">
        <v>3025</v>
      </c>
      <c r="D59" s="3312">
        <v>39442</v>
      </c>
      <c r="E59" s="3312">
        <v>98605</v>
      </c>
      <c r="F59" s="3313" t="s">
        <v>3221</v>
      </c>
      <c r="G59" s="3312">
        <f t="shared" si="0"/>
        <v>2.5</v>
      </c>
      <c r="H59" s="3312" t="s">
        <v>3027</v>
      </c>
      <c r="I59" s="3312" t="s">
        <v>3050</v>
      </c>
      <c r="J59" s="3312" t="s">
        <v>3251</v>
      </c>
      <c r="K59" s="3312" t="s">
        <v>3251</v>
      </c>
      <c r="L59" s="3312">
        <v>13200</v>
      </c>
      <c r="M59" s="3312">
        <v>13210</v>
      </c>
      <c r="N59" s="3312">
        <v>1339.69</v>
      </c>
      <c r="O59" s="3312">
        <v>0.08</v>
      </c>
      <c r="P59" s="3312" t="s">
        <v>3252</v>
      </c>
      <c r="Q59" s="3312" t="s">
        <v>3053</v>
      </c>
    </row>
    <row r="60" spans="1:17" ht="27" hidden="1">
      <c r="A60" s="3313" t="s">
        <v>3256</v>
      </c>
      <c r="B60" s="3312" t="s">
        <v>3024</v>
      </c>
      <c r="C60" s="3312" t="s">
        <v>3025</v>
      </c>
      <c r="D60" s="3312">
        <v>46433</v>
      </c>
      <c r="E60" s="3312">
        <v>116082.5</v>
      </c>
      <c r="F60" s="3313" t="s">
        <v>3221</v>
      </c>
      <c r="G60" s="3312">
        <f t="shared" si="0"/>
        <v>2.5</v>
      </c>
      <c r="H60" s="3312" t="s">
        <v>3027</v>
      </c>
      <c r="I60" s="3312" t="s">
        <v>3050</v>
      </c>
      <c r="J60" s="3312" t="s">
        <v>3251</v>
      </c>
      <c r="K60" s="3312" t="s">
        <v>3251</v>
      </c>
      <c r="L60" s="3312">
        <v>15500</v>
      </c>
      <c r="M60" s="3312">
        <v>15510</v>
      </c>
      <c r="N60" s="3312">
        <v>1336.11</v>
      </c>
      <c r="O60" s="3312">
        <v>0.06</v>
      </c>
      <c r="P60" s="3312" t="s">
        <v>3252</v>
      </c>
      <c r="Q60" s="3312" t="s">
        <v>3053</v>
      </c>
    </row>
    <row r="61" spans="1:17" ht="40.5" hidden="1">
      <c r="A61" s="3313" t="s">
        <v>3257</v>
      </c>
      <c r="B61" s="3312" t="s">
        <v>3024</v>
      </c>
      <c r="C61" s="3312" t="s">
        <v>3025</v>
      </c>
      <c r="D61" s="3312">
        <v>40330</v>
      </c>
      <c r="E61" s="3312">
        <v>100825</v>
      </c>
      <c r="F61" s="3313" t="s">
        <v>3049</v>
      </c>
      <c r="G61" s="3312">
        <f t="shared" si="0"/>
        <v>2.5</v>
      </c>
      <c r="H61" s="3312" t="s">
        <v>3027</v>
      </c>
      <c r="I61" s="3312" t="s">
        <v>3258</v>
      </c>
      <c r="J61" s="3312" t="s">
        <v>3259</v>
      </c>
      <c r="K61" s="3312" t="s">
        <v>3260</v>
      </c>
      <c r="L61" s="3312">
        <v>12100</v>
      </c>
      <c r="M61" s="3312">
        <v>12100</v>
      </c>
      <c r="N61" s="3312">
        <v>1200.0899999999999</v>
      </c>
      <c r="O61" s="3312">
        <v>0</v>
      </c>
      <c r="P61" s="3312" t="s">
        <v>3063</v>
      </c>
      <c r="Q61" s="3312" t="s">
        <v>3053</v>
      </c>
    </row>
    <row r="62" spans="1:17" hidden="1">
      <c r="A62" s="3313" t="s">
        <v>3261</v>
      </c>
      <c r="B62" s="3312" t="s">
        <v>3024</v>
      </c>
      <c r="C62" s="3312" t="s">
        <v>3103</v>
      </c>
      <c r="D62" s="3312">
        <v>18211</v>
      </c>
      <c r="E62" s="3312">
        <v>39077</v>
      </c>
      <c r="F62" s="3313" t="s">
        <v>3262</v>
      </c>
      <c r="G62" s="3312">
        <f t="shared" si="0"/>
        <v>2.15</v>
      </c>
      <c r="H62" s="3312" t="s">
        <v>3027</v>
      </c>
      <c r="I62" s="3312" t="s">
        <v>3105</v>
      </c>
      <c r="J62" s="3312" t="s">
        <v>3260</v>
      </c>
      <c r="K62" s="3312" t="s">
        <v>3260</v>
      </c>
      <c r="L62" s="3312">
        <v>2800</v>
      </c>
      <c r="M62" s="3312">
        <v>2880</v>
      </c>
      <c r="N62" s="3312">
        <v>737</v>
      </c>
      <c r="O62" s="3312">
        <v>2.86</v>
      </c>
      <c r="P62" s="3312" t="s">
        <v>3263</v>
      </c>
      <c r="Q62" s="3312" t="s">
        <v>3094</v>
      </c>
    </row>
    <row r="63" spans="1:17" ht="40.5" hidden="1">
      <c r="A63" s="3313" t="s">
        <v>3264</v>
      </c>
      <c r="B63" s="3312" t="s">
        <v>3024</v>
      </c>
      <c r="C63" s="3312" t="s">
        <v>3025</v>
      </c>
      <c r="D63" s="3312">
        <v>40330</v>
      </c>
      <c r="E63" s="3312">
        <v>100825</v>
      </c>
      <c r="F63" s="3313" t="s">
        <v>3049</v>
      </c>
      <c r="G63" s="3312">
        <f t="shared" si="0"/>
        <v>2.5</v>
      </c>
      <c r="H63" s="3312" t="s">
        <v>3027</v>
      </c>
      <c r="I63" s="3312" t="s">
        <v>3258</v>
      </c>
      <c r="J63" s="3312" t="s">
        <v>3259</v>
      </c>
      <c r="K63" s="3312" t="s">
        <v>3260</v>
      </c>
      <c r="L63" s="3312">
        <v>12100</v>
      </c>
      <c r="M63" s="3312">
        <v>12100</v>
      </c>
      <c r="N63" s="3312">
        <v>1200.0899999999999</v>
      </c>
      <c r="O63" s="3312">
        <v>0</v>
      </c>
      <c r="P63" s="3312" t="s">
        <v>3063</v>
      </c>
      <c r="Q63" s="3312" t="s">
        <v>3053</v>
      </c>
    </row>
    <row r="64" spans="1:17" hidden="1">
      <c r="A64" s="3313" t="s">
        <v>3265</v>
      </c>
      <c r="B64" s="3312" t="s">
        <v>3024</v>
      </c>
      <c r="C64" s="3312" t="s">
        <v>3103</v>
      </c>
      <c r="D64" s="3312">
        <v>43399</v>
      </c>
      <c r="E64" s="3312">
        <v>130197</v>
      </c>
      <c r="F64" s="3313" t="s">
        <v>3266</v>
      </c>
      <c r="G64" s="3312">
        <f t="shared" si="0"/>
        <v>3</v>
      </c>
      <c r="H64" s="3312" t="s">
        <v>3027</v>
      </c>
      <c r="I64" s="3312" t="s">
        <v>3258</v>
      </c>
      <c r="J64" s="3312" t="s">
        <v>3267</v>
      </c>
      <c r="K64" s="3312" t="s">
        <v>3267</v>
      </c>
      <c r="L64" s="3312">
        <v>14425</v>
      </c>
      <c r="M64" s="3312">
        <v>14525</v>
      </c>
      <c r="N64" s="3312">
        <v>1115.6099999999999</v>
      </c>
      <c r="O64" s="3312">
        <v>0.69</v>
      </c>
      <c r="P64" s="3312" t="s">
        <v>3268</v>
      </c>
      <c r="Q64" s="3312" t="s">
        <v>3053</v>
      </c>
    </row>
    <row r="65" spans="1:17" ht="40.5" hidden="1">
      <c r="A65" s="3313" t="s">
        <v>3269</v>
      </c>
      <c r="B65" s="3312" t="s">
        <v>3024</v>
      </c>
      <c r="C65" s="3312" t="s">
        <v>3025</v>
      </c>
      <c r="D65" s="3312">
        <v>51786</v>
      </c>
      <c r="E65" s="3312">
        <v>145000.79999999999</v>
      </c>
      <c r="F65" s="3313" t="s">
        <v>3073</v>
      </c>
      <c r="G65" s="3312">
        <f t="shared" si="0"/>
        <v>2.8</v>
      </c>
      <c r="H65" s="3312" t="s">
        <v>3027</v>
      </c>
      <c r="I65" s="3312" t="s">
        <v>3258</v>
      </c>
      <c r="J65" s="3312" t="s">
        <v>3270</v>
      </c>
      <c r="K65" s="3312" t="s">
        <v>3270</v>
      </c>
      <c r="L65" s="3312">
        <v>19650</v>
      </c>
      <c r="M65" s="3312">
        <v>19660</v>
      </c>
      <c r="N65" s="3312">
        <v>1355.84</v>
      </c>
      <c r="O65" s="3312">
        <v>0.05</v>
      </c>
      <c r="P65" s="3312" t="s">
        <v>3271</v>
      </c>
      <c r="Q65" s="3312" t="s">
        <v>3053</v>
      </c>
    </row>
    <row r="66" spans="1:17" ht="40.5" hidden="1">
      <c r="A66" s="3313" t="s">
        <v>3272</v>
      </c>
      <c r="B66" s="3312" t="s">
        <v>3024</v>
      </c>
      <c r="C66" s="3312" t="s">
        <v>3025</v>
      </c>
      <c r="D66" s="3312">
        <v>33730</v>
      </c>
      <c r="E66" s="3312">
        <v>94444</v>
      </c>
      <c r="F66" s="3313" t="s">
        <v>3073</v>
      </c>
      <c r="G66" s="3312">
        <f t="shared" si="0"/>
        <v>2.8</v>
      </c>
      <c r="H66" s="3312" t="s">
        <v>3027</v>
      </c>
      <c r="I66" s="3312" t="s">
        <v>3258</v>
      </c>
      <c r="J66" s="3312" t="s">
        <v>3270</v>
      </c>
      <c r="K66" s="3312" t="s">
        <v>3270</v>
      </c>
      <c r="L66" s="3312">
        <v>12350</v>
      </c>
      <c r="M66" s="3312">
        <v>13560</v>
      </c>
      <c r="N66" s="3312">
        <v>1435.76</v>
      </c>
      <c r="O66" s="3312">
        <v>9.8000000000000007</v>
      </c>
      <c r="P66" s="3312" t="s">
        <v>3271</v>
      </c>
      <c r="Q66" s="3312" t="s">
        <v>3053</v>
      </c>
    </row>
    <row r="67" spans="1:17" ht="40.5" hidden="1">
      <c r="A67" s="3313" t="s">
        <v>3273</v>
      </c>
      <c r="B67" s="3312" t="s">
        <v>3024</v>
      </c>
      <c r="C67" s="3312" t="s">
        <v>3025</v>
      </c>
      <c r="D67" s="3312">
        <v>33595</v>
      </c>
      <c r="E67" s="3312">
        <v>94066</v>
      </c>
      <c r="F67" s="3313" t="s">
        <v>3073</v>
      </c>
      <c r="G67" s="3312">
        <f t="shared" ref="G67:G101" si="1">ROUND(E67/D67,2)</f>
        <v>2.8</v>
      </c>
      <c r="H67" s="3312" t="s">
        <v>3027</v>
      </c>
      <c r="I67" s="3312" t="s">
        <v>3258</v>
      </c>
      <c r="J67" s="3312" t="s">
        <v>3270</v>
      </c>
      <c r="K67" s="3312" t="s">
        <v>3270</v>
      </c>
      <c r="L67" s="3312">
        <v>13600</v>
      </c>
      <c r="M67" s="3312">
        <v>13610</v>
      </c>
      <c r="N67" s="3312">
        <v>1446.85</v>
      </c>
      <c r="O67" s="3312">
        <v>7.0000000000000007E-2</v>
      </c>
      <c r="P67" s="3312" t="s">
        <v>3271</v>
      </c>
      <c r="Q67" s="3312" t="s">
        <v>3053</v>
      </c>
    </row>
    <row r="68" spans="1:17" ht="40.5" hidden="1">
      <c r="A68" s="3313" t="s">
        <v>3274</v>
      </c>
      <c r="B68" s="3312" t="s">
        <v>3024</v>
      </c>
      <c r="C68" s="3312" t="s">
        <v>3025</v>
      </c>
      <c r="D68" s="3312">
        <v>44350</v>
      </c>
      <c r="E68" s="3312">
        <v>124180</v>
      </c>
      <c r="F68" s="3313" t="s">
        <v>3073</v>
      </c>
      <c r="G68" s="3312">
        <f t="shared" si="1"/>
        <v>2.8</v>
      </c>
      <c r="H68" s="3312" t="s">
        <v>3027</v>
      </c>
      <c r="I68" s="3312" t="s">
        <v>3258</v>
      </c>
      <c r="J68" s="3312" t="s">
        <v>3270</v>
      </c>
      <c r="K68" s="3312" t="s">
        <v>3270</v>
      </c>
      <c r="L68" s="3312">
        <v>16600</v>
      </c>
      <c r="M68" s="3312">
        <v>18810</v>
      </c>
      <c r="N68" s="3312">
        <v>1514.74</v>
      </c>
      <c r="O68" s="3312">
        <v>13.31</v>
      </c>
      <c r="P68" s="3312" t="s">
        <v>3275</v>
      </c>
      <c r="Q68" s="3312" t="s">
        <v>3053</v>
      </c>
    </row>
    <row r="69" spans="1:17" ht="40.5" hidden="1">
      <c r="A69" s="3313" t="s">
        <v>3276</v>
      </c>
      <c r="B69" s="3312" t="s">
        <v>3024</v>
      </c>
      <c r="C69" s="3312" t="s">
        <v>3025</v>
      </c>
      <c r="D69" s="3312">
        <v>8746.57</v>
      </c>
      <c r="E69" s="3312">
        <v>34986.28</v>
      </c>
      <c r="F69" s="3313" t="s">
        <v>3246</v>
      </c>
      <c r="G69" s="3312">
        <f t="shared" si="1"/>
        <v>4</v>
      </c>
      <c r="H69" s="3312" t="s">
        <v>3027</v>
      </c>
      <c r="I69" s="3312" t="s">
        <v>3258</v>
      </c>
      <c r="J69" s="3312" t="s">
        <v>3277</v>
      </c>
      <c r="K69" s="3312" t="s">
        <v>3277</v>
      </c>
      <c r="L69" s="3312">
        <v>2900</v>
      </c>
      <c r="M69" s="3312">
        <v>2950</v>
      </c>
      <c r="N69" s="3312">
        <v>843.19</v>
      </c>
      <c r="O69" s="3312">
        <v>1.72</v>
      </c>
      <c r="P69" s="3312" t="s">
        <v>3278</v>
      </c>
      <c r="Q69" s="3312" t="s">
        <v>3053</v>
      </c>
    </row>
    <row r="70" spans="1:17" ht="40.5" hidden="1">
      <c r="A70" s="3313" t="s">
        <v>3279</v>
      </c>
      <c r="B70" s="3312" t="s">
        <v>3024</v>
      </c>
      <c r="C70" s="3312" t="s">
        <v>3025</v>
      </c>
      <c r="D70" s="3312">
        <v>15660.68</v>
      </c>
      <c r="E70" s="3312">
        <v>42283.839999999997</v>
      </c>
      <c r="F70" s="3313" t="s">
        <v>3280</v>
      </c>
      <c r="G70" s="3312">
        <f t="shared" si="1"/>
        <v>2.7</v>
      </c>
      <c r="H70" s="3312" t="s">
        <v>3027</v>
      </c>
      <c r="I70" s="3312" t="s">
        <v>3258</v>
      </c>
      <c r="J70" s="3312" t="s">
        <v>3277</v>
      </c>
      <c r="K70" s="3312" t="s">
        <v>3277</v>
      </c>
      <c r="L70" s="3312">
        <v>1550</v>
      </c>
      <c r="M70" s="3312">
        <v>1550</v>
      </c>
      <c r="N70" s="3312">
        <v>366.56</v>
      </c>
      <c r="O70" s="3312">
        <v>0</v>
      </c>
      <c r="P70" s="3312" t="s">
        <v>3281</v>
      </c>
      <c r="Q70" s="3312" t="s">
        <v>3064</v>
      </c>
    </row>
    <row r="71" spans="1:17" ht="40.5" hidden="1">
      <c r="A71" s="3313" t="s">
        <v>3282</v>
      </c>
      <c r="B71" s="3312" t="s">
        <v>3024</v>
      </c>
      <c r="C71" s="3312" t="s">
        <v>3025</v>
      </c>
      <c r="D71" s="3312">
        <v>994.97</v>
      </c>
      <c r="E71" s="3312">
        <v>1253.6600000000001</v>
      </c>
      <c r="F71" s="3313" t="s">
        <v>3283</v>
      </c>
      <c r="G71" s="3312">
        <f t="shared" si="1"/>
        <v>1.26</v>
      </c>
      <c r="H71" s="3312" t="s">
        <v>3027</v>
      </c>
      <c r="I71" s="3312" t="s">
        <v>3258</v>
      </c>
      <c r="J71" s="3312" t="s">
        <v>3277</v>
      </c>
      <c r="K71" s="3312" t="s">
        <v>3277</v>
      </c>
      <c r="L71" s="3312">
        <v>110</v>
      </c>
      <c r="M71" s="3312">
        <v>130</v>
      </c>
      <c r="N71" s="3312">
        <v>1036.96</v>
      </c>
      <c r="O71" s="3312">
        <v>18.18</v>
      </c>
      <c r="P71" s="3312" t="s">
        <v>3284</v>
      </c>
      <c r="Q71" s="3312" t="s">
        <v>3053</v>
      </c>
    </row>
    <row r="72" spans="1:17" ht="27" hidden="1">
      <c r="A72" s="3313" t="s">
        <v>3285</v>
      </c>
      <c r="B72" s="3312" t="s">
        <v>3024</v>
      </c>
      <c r="C72" s="3312" t="s">
        <v>3025</v>
      </c>
      <c r="D72" s="3312">
        <v>50497</v>
      </c>
      <c r="E72" s="3312">
        <v>126242.5</v>
      </c>
      <c r="F72" s="3313" t="s">
        <v>3221</v>
      </c>
      <c r="G72" s="3312">
        <f t="shared" si="1"/>
        <v>2.5</v>
      </c>
      <c r="H72" s="3312" t="s">
        <v>3027</v>
      </c>
      <c r="I72" s="3312" t="s">
        <v>3258</v>
      </c>
      <c r="J72" s="3312" t="s">
        <v>3286</v>
      </c>
      <c r="K72" s="3312" t="s">
        <v>3286</v>
      </c>
      <c r="L72" s="3312">
        <v>12900</v>
      </c>
      <c r="M72" s="3312">
        <v>12910</v>
      </c>
      <c r="N72" s="3312">
        <v>1022.63</v>
      </c>
      <c r="O72" s="3312">
        <v>0.08</v>
      </c>
      <c r="P72" s="3312" t="s">
        <v>3287</v>
      </c>
      <c r="Q72" s="3312" t="s">
        <v>3053</v>
      </c>
    </row>
    <row r="73" spans="1:17" ht="27" hidden="1">
      <c r="A73" s="3313" t="s">
        <v>3288</v>
      </c>
      <c r="B73" s="3312" t="s">
        <v>3024</v>
      </c>
      <c r="C73" s="3312" t="s">
        <v>3025</v>
      </c>
      <c r="D73" s="3312">
        <v>123952</v>
      </c>
      <c r="E73" s="3312">
        <v>247904</v>
      </c>
      <c r="F73" s="3313" t="s">
        <v>3289</v>
      </c>
      <c r="G73" s="3312">
        <f t="shared" si="1"/>
        <v>2</v>
      </c>
      <c r="H73" s="3312" t="s">
        <v>3027</v>
      </c>
      <c r="I73" s="3312" t="s">
        <v>3258</v>
      </c>
      <c r="J73" s="3312" t="s">
        <v>3290</v>
      </c>
      <c r="K73" s="3312" t="s">
        <v>3290</v>
      </c>
      <c r="L73" s="3312">
        <v>28672</v>
      </c>
      <c r="M73" s="3312">
        <v>29392</v>
      </c>
      <c r="N73" s="3312">
        <v>1185.6099999999999</v>
      </c>
      <c r="O73" s="3312">
        <v>2.5099999999999998</v>
      </c>
      <c r="P73" s="3312" t="s">
        <v>3291</v>
      </c>
      <c r="Q73" s="3312" t="s">
        <v>3064</v>
      </c>
    </row>
    <row r="74" spans="1:17" ht="27" hidden="1">
      <c r="A74" s="3313" t="s">
        <v>3292</v>
      </c>
      <c r="B74" s="3312" t="s">
        <v>3024</v>
      </c>
      <c r="C74" s="3312" t="s">
        <v>3025</v>
      </c>
      <c r="D74" s="3312">
        <v>119592</v>
      </c>
      <c r="E74" s="3312">
        <v>221245.2</v>
      </c>
      <c r="F74" s="3313" t="s">
        <v>3293</v>
      </c>
      <c r="G74" s="3312">
        <f t="shared" si="1"/>
        <v>1.85</v>
      </c>
      <c r="H74" s="3312" t="s">
        <v>3027</v>
      </c>
      <c r="I74" s="3312" t="s">
        <v>3258</v>
      </c>
      <c r="J74" s="3312" t="s">
        <v>3290</v>
      </c>
      <c r="K74" s="3312" t="s">
        <v>3290</v>
      </c>
      <c r="L74" s="3312">
        <v>26070</v>
      </c>
      <c r="M74" s="3312">
        <v>26730</v>
      </c>
      <c r="N74" s="3312">
        <v>1208.1600000000001</v>
      </c>
      <c r="O74" s="3312">
        <v>2.5299999999999998</v>
      </c>
      <c r="P74" s="3312" t="s">
        <v>3291</v>
      </c>
      <c r="Q74" s="3312" t="s">
        <v>3064</v>
      </c>
    </row>
    <row r="75" spans="1:17" ht="27" hidden="1">
      <c r="A75" s="3313" t="s">
        <v>3294</v>
      </c>
      <c r="B75" s="3312" t="s">
        <v>3024</v>
      </c>
      <c r="C75" s="3312" t="s">
        <v>3103</v>
      </c>
      <c r="D75" s="3312">
        <v>85344</v>
      </c>
      <c r="E75" s="3312">
        <v>227015</v>
      </c>
      <c r="F75" s="3313" t="s">
        <v>3295</v>
      </c>
      <c r="G75" s="3312">
        <f t="shared" si="1"/>
        <v>2.66</v>
      </c>
      <c r="H75" s="3312" t="s">
        <v>3027</v>
      </c>
      <c r="I75" s="3312" t="s">
        <v>3258</v>
      </c>
      <c r="J75" s="3312" t="s">
        <v>3290</v>
      </c>
      <c r="K75" s="3312" t="s">
        <v>3290</v>
      </c>
      <c r="L75" s="3312">
        <v>20145</v>
      </c>
      <c r="M75" s="3312">
        <v>20655</v>
      </c>
      <c r="N75" s="3312">
        <v>909.85</v>
      </c>
      <c r="O75" s="3312">
        <v>2.5299999999999998</v>
      </c>
      <c r="P75" s="3312" t="s">
        <v>3291</v>
      </c>
      <c r="Q75" s="3312" t="s">
        <v>3064</v>
      </c>
    </row>
    <row r="76" spans="1:17" ht="27" hidden="1">
      <c r="A76" s="3313" t="s">
        <v>3296</v>
      </c>
      <c r="B76" s="3312" t="s">
        <v>3024</v>
      </c>
      <c r="C76" s="3312" t="s">
        <v>3025</v>
      </c>
      <c r="D76" s="3312">
        <v>116919</v>
      </c>
      <c r="E76" s="3312">
        <v>222146.1</v>
      </c>
      <c r="F76" s="3313" t="s">
        <v>3297</v>
      </c>
      <c r="G76" s="3312">
        <f t="shared" si="1"/>
        <v>1.9</v>
      </c>
      <c r="H76" s="3312" t="s">
        <v>3027</v>
      </c>
      <c r="I76" s="3312" t="s">
        <v>3258</v>
      </c>
      <c r="J76" s="3312" t="s">
        <v>3290</v>
      </c>
      <c r="K76" s="3312" t="s">
        <v>3290</v>
      </c>
      <c r="L76" s="3312">
        <v>23203</v>
      </c>
      <c r="M76" s="3312">
        <v>23783</v>
      </c>
      <c r="N76" s="3312">
        <v>1070.5899999999999</v>
      </c>
      <c r="O76" s="3312">
        <v>2.5</v>
      </c>
      <c r="P76" s="3312" t="s">
        <v>3291</v>
      </c>
      <c r="Q76" s="3312" t="s">
        <v>3064</v>
      </c>
    </row>
    <row r="77" spans="1:17" ht="27" hidden="1">
      <c r="A77" s="3313" t="s">
        <v>3298</v>
      </c>
      <c r="B77" s="3312" t="s">
        <v>3024</v>
      </c>
      <c r="C77" s="3312" t="s">
        <v>3025</v>
      </c>
      <c r="D77" s="3312">
        <v>68368</v>
      </c>
      <c r="E77" s="3312">
        <v>123746.1</v>
      </c>
      <c r="F77" s="3313" t="s">
        <v>3299</v>
      </c>
      <c r="G77" s="3312">
        <f t="shared" si="1"/>
        <v>1.81</v>
      </c>
      <c r="H77" s="3312" t="s">
        <v>3027</v>
      </c>
      <c r="I77" s="3312" t="s">
        <v>3258</v>
      </c>
      <c r="J77" s="3312" t="s">
        <v>3290</v>
      </c>
      <c r="K77" s="3312" t="s">
        <v>3290</v>
      </c>
      <c r="L77" s="3312">
        <v>13647</v>
      </c>
      <c r="M77" s="3312">
        <v>13987</v>
      </c>
      <c r="N77" s="3312">
        <v>1130.29</v>
      </c>
      <c r="O77" s="3312">
        <v>2.4900000000000002</v>
      </c>
      <c r="P77" s="3312" t="s">
        <v>3291</v>
      </c>
      <c r="Q77" s="3312" t="s">
        <v>3064</v>
      </c>
    </row>
    <row r="78" spans="1:17" ht="40.5" hidden="1">
      <c r="A78" s="3313" t="s">
        <v>3300</v>
      </c>
      <c r="B78" s="3312" t="s">
        <v>3024</v>
      </c>
      <c r="C78" s="3312" t="s">
        <v>3025</v>
      </c>
      <c r="D78" s="3312">
        <v>56710</v>
      </c>
      <c r="E78" s="3312">
        <v>198485</v>
      </c>
      <c r="F78" s="3313" t="s">
        <v>3085</v>
      </c>
      <c r="G78" s="3312">
        <f t="shared" si="1"/>
        <v>3.5</v>
      </c>
      <c r="H78" s="3312" t="s">
        <v>3027</v>
      </c>
      <c r="I78" s="3312" t="s">
        <v>3258</v>
      </c>
      <c r="J78" s="3312" t="s">
        <v>3301</v>
      </c>
      <c r="K78" s="3312" t="s">
        <v>3301</v>
      </c>
      <c r="L78" s="3312">
        <v>17200</v>
      </c>
      <c r="M78" s="3312">
        <v>17210</v>
      </c>
      <c r="N78" s="3312">
        <v>867.07</v>
      </c>
      <c r="O78" s="3312">
        <v>0.06</v>
      </c>
      <c r="P78" s="3312" t="s">
        <v>3302</v>
      </c>
      <c r="Q78" s="3312" t="s">
        <v>3094</v>
      </c>
    </row>
    <row r="79" spans="1:17" ht="40.5" hidden="1">
      <c r="A79" s="3313" t="s">
        <v>3303</v>
      </c>
      <c r="B79" s="3312" t="s">
        <v>3024</v>
      </c>
      <c r="C79" s="3312" t="s">
        <v>3025</v>
      </c>
      <c r="D79" s="3312">
        <v>49574</v>
      </c>
      <c r="E79" s="3312">
        <v>173509</v>
      </c>
      <c r="F79" s="3313" t="s">
        <v>3085</v>
      </c>
      <c r="G79" s="3312">
        <f t="shared" si="1"/>
        <v>3.5</v>
      </c>
      <c r="H79" s="3312" t="s">
        <v>3027</v>
      </c>
      <c r="I79" s="3312" t="s">
        <v>3258</v>
      </c>
      <c r="J79" s="3312" t="s">
        <v>3301</v>
      </c>
      <c r="K79" s="3312" t="s">
        <v>3301</v>
      </c>
      <c r="L79" s="3312">
        <v>15000</v>
      </c>
      <c r="M79" s="3312">
        <v>15010</v>
      </c>
      <c r="N79" s="3312">
        <v>865.08</v>
      </c>
      <c r="O79" s="3312">
        <v>7.0000000000000007E-2</v>
      </c>
      <c r="P79" s="3312" t="s">
        <v>3302</v>
      </c>
      <c r="Q79" s="3312" t="s">
        <v>3094</v>
      </c>
    </row>
    <row r="80" spans="1:17" ht="40.5" hidden="1">
      <c r="A80" s="3313" t="s">
        <v>3304</v>
      </c>
      <c r="B80" s="3312" t="s">
        <v>3024</v>
      </c>
      <c r="C80" s="3312" t="s">
        <v>3025</v>
      </c>
      <c r="D80" s="3312">
        <v>12970</v>
      </c>
      <c r="E80" s="3312">
        <v>67184.600000000006</v>
      </c>
      <c r="F80" s="3313" t="s">
        <v>3305</v>
      </c>
      <c r="G80" s="3312">
        <f t="shared" si="1"/>
        <v>5.18</v>
      </c>
      <c r="H80" s="3312" t="s">
        <v>3027</v>
      </c>
      <c r="I80" s="3312" t="s">
        <v>3258</v>
      </c>
      <c r="J80" s="3312" t="s">
        <v>3306</v>
      </c>
      <c r="K80" s="3312" t="s">
        <v>3306</v>
      </c>
      <c r="L80" s="3312">
        <v>7600</v>
      </c>
      <c r="M80" s="3312">
        <v>7820</v>
      </c>
      <c r="N80" s="3312">
        <v>1163.96</v>
      </c>
      <c r="O80" s="3312">
        <v>2.89</v>
      </c>
      <c r="P80" s="3312" t="s">
        <v>3080</v>
      </c>
      <c r="Q80" s="3312" t="s">
        <v>3053</v>
      </c>
    </row>
    <row r="81" spans="1:17" ht="40.5" hidden="1">
      <c r="A81" s="3313" t="s">
        <v>3307</v>
      </c>
      <c r="B81" s="3312" t="s">
        <v>3024</v>
      </c>
      <c r="C81" s="3312" t="s">
        <v>3025</v>
      </c>
      <c r="D81" s="3312">
        <v>5327</v>
      </c>
      <c r="E81" s="3312">
        <v>22320.13</v>
      </c>
      <c r="F81" s="3313" t="s">
        <v>3308</v>
      </c>
      <c r="G81" s="3312">
        <f t="shared" si="1"/>
        <v>4.1900000000000004</v>
      </c>
      <c r="H81" s="3312" t="s">
        <v>3027</v>
      </c>
      <c r="I81" s="3312" t="s">
        <v>3258</v>
      </c>
      <c r="J81" s="3312" t="s">
        <v>3306</v>
      </c>
      <c r="K81" s="3312" t="s">
        <v>3306</v>
      </c>
      <c r="L81" s="3312">
        <v>1880</v>
      </c>
      <c r="M81" s="3312">
        <v>2200</v>
      </c>
      <c r="N81" s="3312">
        <v>985.65</v>
      </c>
      <c r="O81" s="3312">
        <v>17.02</v>
      </c>
      <c r="P81" s="3312" t="s">
        <v>3309</v>
      </c>
      <c r="Q81" s="3312" t="s">
        <v>3053</v>
      </c>
    </row>
    <row r="82" spans="1:17" ht="40.5" hidden="1">
      <c r="A82" s="3313" t="s">
        <v>3310</v>
      </c>
      <c r="B82" s="3312" t="s">
        <v>3024</v>
      </c>
      <c r="C82" s="3312" t="s">
        <v>3025</v>
      </c>
      <c r="D82" s="3312">
        <v>50239</v>
      </c>
      <c r="E82" s="3312">
        <v>175836.5</v>
      </c>
      <c r="F82" s="3313" t="s">
        <v>3085</v>
      </c>
      <c r="G82" s="3312">
        <f t="shared" si="1"/>
        <v>3.5</v>
      </c>
      <c r="H82" s="3312" t="s">
        <v>3027</v>
      </c>
      <c r="I82" s="3312" t="s">
        <v>3258</v>
      </c>
      <c r="J82" s="3312" t="s">
        <v>3311</v>
      </c>
      <c r="K82" s="3312" t="s">
        <v>3311</v>
      </c>
      <c r="L82" s="3312">
        <v>12510</v>
      </c>
      <c r="M82" s="3312">
        <v>12510</v>
      </c>
      <c r="N82" s="3312">
        <v>711.46</v>
      </c>
      <c r="O82" s="3312">
        <v>0</v>
      </c>
      <c r="P82" s="3312" t="s">
        <v>3042</v>
      </c>
      <c r="Q82" s="3312" t="s">
        <v>3053</v>
      </c>
    </row>
    <row r="83" spans="1:17" ht="40.5" hidden="1">
      <c r="A83" s="3313" t="s">
        <v>3312</v>
      </c>
      <c r="B83" s="3312" t="s">
        <v>3024</v>
      </c>
      <c r="C83" s="3312" t="s">
        <v>3025</v>
      </c>
      <c r="D83" s="3312">
        <v>5708.02</v>
      </c>
      <c r="E83" s="3312">
        <v>18265.66</v>
      </c>
      <c r="F83" s="3313" t="s">
        <v>3313</v>
      </c>
      <c r="G83" s="3312">
        <f t="shared" si="1"/>
        <v>3.2</v>
      </c>
      <c r="H83" s="3312" t="s">
        <v>3027</v>
      </c>
      <c r="I83" s="3312" t="s">
        <v>3258</v>
      </c>
      <c r="J83" s="3312" t="s">
        <v>3314</v>
      </c>
      <c r="K83" s="3312" t="s">
        <v>3314</v>
      </c>
      <c r="L83" s="3312">
        <v>600</v>
      </c>
      <c r="M83" s="3312">
        <v>720</v>
      </c>
      <c r="N83" s="3312">
        <v>394.18</v>
      </c>
      <c r="O83" s="3312">
        <v>20</v>
      </c>
      <c r="P83" s="3312" t="s">
        <v>3315</v>
      </c>
      <c r="Q83" s="3312" t="s">
        <v>3094</v>
      </c>
    </row>
    <row r="84" spans="1:17" ht="40.5" hidden="1">
      <c r="A84" s="3313" t="s">
        <v>3316</v>
      </c>
      <c r="B84" s="3312" t="s">
        <v>3024</v>
      </c>
      <c r="C84" s="3312" t="s">
        <v>3025</v>
      </c>
      <c r="D84" s="3312">
        <v>29570.1</v>
      </c>
      <c r="E84" s="3312">
        <v>73925.25</v>
      </c>
      <c r="F84" s="3313" t="s">
        <v>3049</v>
      </c>
      <c r="G84" s="3312">
        <f t="shared" si="1"/>
        <v>2.5</v>
      </c>
      <c r="H84" s="3312" t="s">
        <v>3027</v>
      </c>
      <c r="I84" s="3312" t="s">
        <v>3258</v>
      </c>
      <c r="J84" s="3312" t="s">
        <v>3314</v>
      </c>
      <c r="K84" s="3312" t="s">
        <v>3314</v>
      </c>
      <c r="L84" s="3312">
        <v>6200</v>
      </c>
      <c r="M84" s="3312">
        <v>11710</v>
      </c>
      <c r="N84" s="3312">
        <v>1584.02</v>
      </c>
      <c r="O84" s="3312">
        <v>88.87</v>
      </c>
      <c r="P84" s="3312" t="s">
        <v>3317</v>
      </c>
      <c r="Q84" s="3312" t="s">
        <v>3053</v>
      </c>
    </row>
    <row r="85" spans="1:17" ht="40.5" hidden="1">
      <c r="A85" s="3313" t="s">
        <v>3318</v>
      </c>
      <c r="B85" s="3312" t="s">
        <v>3024</v>
      </c>
      <c r="C85" s="3312" t="s">
        <v>3025</v>
      </c>
      <c r="D85" s="3312">
        <v>47152</v>
      </c>
      <c r="E85" s="3312">
        <v>94304</v>
      </c>
      <c r="F85" s="3313" t="s">
        <v>3319</v>
      </c>
      <c r="G85" s="3312">
        <f t="shared" si="1"/>
        <v>2</v>
      </c>
      <c r="H85" s="3312" t="s">
        <v>3027</v>
      </c>
      <c r="I85" s="3312" t="s">
        <v>3258</v>
      </c>
      <c r="J85" s="3312" t="s">
        <v>3320</v>
      </c>
      <c r="K85" s="3312" t="s">
        <v>3320</v>
      </c>
      <c r="L85" s="3312">
        <v>7000</v>
      </c>
      <c r="M85" s="3312">
        <v>7080</v>
      </c>
      <c r="N85" s="3312">
        <v>750.75</v>
      </c>
      <c r="O85" s="3312">
        <v>1.1399999999999999</v>
      </c>
      <c r="P85" s="3312" t="s">
        <v>3090</v>
      </c>
      <c r="Q85" s="3312" t="s">
        <v>3064</v>
      </c>
    </row>
    <row r="86" spans="1:17" ht="40.5" hidden="1">
      <c r="A86" s="3313" t="s">
        <v>3321</v>
      </c>
      <c r="B86" s="3312" t="s">
        <v>3024</v>
      </c>
      <c r="C86" s="3312" t="s">
        <v>3025</v>
      </c>
      <c r="D86" s="3312">
        <v>10674.69</v>
      </c>
      <c r="E86" s="3312">
        <v>37361.42</v>
      </c>
      <c r="F86" s="3313" t="s">
        <v>3085</v>
      </c>
      <c r="G86" s="3312">
        <f t="shared" si="1"/>
        <v>3.5</v>
      </c>
      <c r="H86" s="3312" t="s">
        <v>3027</v>
      </c>
      <c r="I86" s="3312" t="s">
        <v>3258</v>
      </c>
      <c r="J86" s="3312" t="s">
        <v>3320</v>
      </c>
      <c r="K86" s="3312" t="s">
        <v>3320</v>
      </c>
      <c r="L86" s="3312">
        <v>3200</v>
      </c>
      <c r="M86" s="3312">
        <v>3410</v>
      </c>
      <c r="N86" s="3312">
        <v>912.71</v>
      </c>
      <c r="O86" s="3312">
        <v>6.56</v>
      </c>
      <c r="P86" s="3312" t="s">
        <v>3087</v>
      </c>
      <c r="Q86" s="3312" t="s">
        <v>3053</v>
      </c>
    </row>
    <row r="87" spans="1:17" ht="40.5" hidden="1">
      <c r="A87" s="3313" t="s">
        <v>3322</v>
      </c>
      <c r="B87" s="3312" t="s">
        <v>3024</v>
      </c>
      <c r="C87" s="3312" t="s">
        <v>3025</v>
      </c>
      <c r="D87" s="3312">
        <v>29451</v>
      </c>
      <c r="E87" s="3312">
        <v>58902</v>
      </c>
      <c r="F87" s="3313" t="s">
        <v>3319</v>
      </c>
      <c r="G87" s="3312">
        <f t="shared" si="1"/>
        <v>2</v>
      </c>
      <c r="H87" s="3312" t="s">
        <v>3027</v>
      </c>
      <c r="I87" s="3312" t="s">
        <v>3258</v>
      </c>
      <c r="J87" s="3312" t="s">
        <v>3320</v>
      </c>
      <c r="K87" s="3312" t="s">
        <v>3320</v>
      </c>
      <c r="L87" s="3312">
        <v>4400</v>
      </c>
      <c r="M87" s="3312">
        <v>4470</v>
      </c>
      <c r="N87" s="3312">
        <v>758.88</v>
      </c>
      <c r="O87" s="3312">
        <v>1.59</v>
      </c>
      <c r="P87" s="3312" t="s">
        <v>3090</v>
      </c>
      <c r="Q87" s="3312" t="s">
        <v>3064</v>
      </c>
    </row>
    <row r="88" spans="1:17" ht="27" hidden="1">
      <c r="A88" s="3313" t="s">
        <v>3323</v>
      </c>
      <c r="B88" s="3312" t="s">
        <v>3024</v>
      </c>
      <c r="C88" s="3312" t="s">
        <v>3025</v>
      </c>
      <c r="D88" s="3312">
        <v>58095</v>
      </c>
      <c r="E88" s="3312">
        <v>116190</v>
      </c>
      <c r="F88" s="3313" t="s">
        <v>3324</v>
      </c>
      <c r="G88" s="3312">
        <f t="shared" si="1"/>
        <v>2</v>
      </c>
      <c r="H88" s="3312" t="s">
        <v>3027</v>
      </c>
      <c r="I88" s="3312" t="s">
        <v>3258</v>
      </c>
      <c r="J88" s="3312" t="s">
        <v>3325</v>
      </c>
      <c r="K88" s="3312" t="s">
        <v>3325</v>
      </c>
      <c r="L88" s="3312">
        <v>5316</v>
      </c>
      <c r="M88" s="3312">
        <v>5376</v>
      </c>
      <c r="N88" s="3312">
        <v>462.68</v>
      </c>
      <c r="O88" s="3312">
        <v>1.1299999999999999</v>
      </c>
      <c r="P88" s="3312" t="s">
        <v>3326</v>
      </c>
      <c r="Q88" s="3312" t="s">
        <v>3053</v>
      </c>
    </row>
    <row r="89" spans="1:17" ht="27" hidden="1">
      <c r="A89" s="3313" t="s">
        <v>3327</v>
      </c>
      <c r="B89" s="3312" t="s">
        <v>3024</v>
      </c>
      <c r="C89" s="3312" t="s">
        <v>3025</v>
      </c>
      <c r="D89" s="3312">
        <v>46994</v>
      </c>
      <c r="E89" s="3312">
        <v>93988</v>
      </c>
      <c r="F89" s="3313" t="s">
        <v>3324</v>
      </c>
      <c r="G89" s="3312">
        <f t="shared" si="1"/>
        <v>2</v>
      </c>
      <c r="H89" s="3312" t="s">
        <v>3027</v>
      </c>
      <c r="I89" s="3312" t="s">
        <v>3258</v>
      </c>
      <c r="J89" s="3312" t="s">
        <v>3325</v>
      </c>
      <c r="K89" s="3312" t="s">
        <v>3325</v>
      </c>
      <c r="L89" s="3312">
        <v>4300</v>
      </c>
      <c r="M89" s="3312">
        <v>4360</v>
      </c>
      <c r="N89" s="3312">
        <v>463.88</v>
      </c>
      <c r="O89" s="3312">
        <v>1.4</v>
      </c>
      <c r="P89" s="3312" t="s">
        <v>3326</v>
      </c>
      <c r="Q89" s="3312" t="s">
        <v>3053</v>
      </c>
    </row>
    <row r="90" spans="1:17" ht="27" hidden="1">
      <c r="A90" s="3313" t="s">
        <v>3328</v>
      </c>
      <c r="B90" s="3312" t="s">
        <v>3024</v>
      </c>
      <c r="C90" s="3312" t="s">
        <v>3025</v>
      </c>
      <c r="D90" s="3312">
        <v>52261</v>
      </c>
      <c r="E90" s="3312">
        <v>104522</v>
      </c>
      <c r="F90" s="3313" t="s">
        <v>3324</v>
      </c>
      <c r="G90" s="3312">
        <f t="shared" si="1"/>
        <v>2</v>
      </c>
      <c r="H90" s="3312" t="s">
        <v>3027</v>
      </c>
      <c r="I90" s="3312" t="s">
        <v>3258</v>
      </c>
      <c r="J90" s="3312" t="s">
        <v>3325</v>
      </c>
      <c r="K90" s="3312" t="s">
        <v>3325</v>
      </c>
      <c r="L90" s="3312">
        <v>4782</v>
      </c>
      <c r="M90" s="3312">
        <v>4842</v>
      </c>
      <c r="N90" s="3312">
        <v>463.25</v>
      </c>
      <c r="O90" s="3312">
        <v>1.25</v>
      </c>
      <c r="P90" s="3312" t="s">
        <v>3326</v>
      </c>
      <c r="Q90" s="3312" t="s">
        <v>3053</v>
      </c>
    </row>
    <row r="91" spans="1:17" ht="27" hidden="1">
      <c r="A91" s="3313" t="s">
        <v>3329</v>
      </c>
      <c r="B91" s="3312" t="s">
        <v>3024</v>
      </c>
      <c r="C91" s="3312" t="s">
        <v>3025</v>
      </c>
      <c r="D91" s="3312">
        <v>47834</v>
      </c>
      <c r="E91" s="3312">
        <v>95668</v>
      </c>
      <c r="F91" s="3313" t="s">
        <v>3324</v>
      </c>
      <c r="G91" s="3312">
        <f t="shared" si="1"/>
        <v>2</v>
      </c>
      <c r="H91" s="3312" t="s">
        <v>3027</v>
      </c>
      <c r="I91" s="3312" t="s">
        <v>3258</v>
      </c>
      <c r="J91" s="3312" t="s">
        <v>3325</v>
      </c>
      <c r="K91" s="3312" t="s">
        <v>3325</v>
      </c>
      <c r="L91" s="3312">
        <v>4377</v>
      </c>
      <c r="M91" s="3312">
        <v>4437</v>
      </c>
      <c r="N91" s="3312">
        <v>463.79</v>
      </c>
      <c r="O91" s="3312">
        <v>1.37</v>
      </c>
      <c r="P91" s="3312" t="s">
        <v>3326</v>
      </c>
      <c r="Q91" s="3312" t="s">
        <v>3053</v>
      </c>
    </row>
    <row r="92" spans="1:17" ht="40.5" hidden="1">
      <c r="A92" s="3313" t="s">
        <v>3330</v>
      </c>
      <c r="B92" s="3312" t="s">
        <v>3024</v>
      </c>
      <c r="C92" s="3312" t="s">
        <v>3025</v>
      </c>
      <c r="D92" s="3312">
        <v>24518.6</v>
      </c>
      <c r="E92" s="3312">
        <v>49037.2</v>
      </c>
      <c r="F92" s="3313" t="s">
        <v>3319</v>
      </c>
      <c r="G92" s="3312">
        <f t="shared" si="1"/>
        <v>2</v>
      </c>
      <c r="H92" s="3312" t="s">
        <v>3027</v>
      </c>
      <c r="I92" s="3312" t="s">
        <v>3258</v>
      </c>
      <c r="J92" s="3312" t="s">
        <v>3331</v>
      </c>
      <c r="K92" s="3312" t="s">
        <v>3331</v>
      </c>
      <c r="L92" s="3312">
        <v>1360</v>
      </c>
      <c r="M92" s="3312">
        <v>1360</v>
      </c>
      <c r="N92" s="3312">
        <v>277.33</v>
      </c>
      <c r="O92" s="3312">
        <v>0</v>
      </c>
      <c r="P92" s="3312" t="s">
        <v>3332</v>
      </c>
      <c r="Q92" s="3312" t="s">
        <v>3094</v>
      </c>
    </row>
    <row r="93" spans="1:17" ht="40.5" hidden="1">
      <c r="A93" s="3313" t="s">
        <v>3333</v>
      </c>
      <c r="B93" s="3312" t="s">
        <v>3024</v>
      </c>
      <c r="C93" s="3312" t="s">
        <v>3025</v>
      </c>
      <c r="D93" s="3312">
        <v>55770</v>
      </c>
      <c r="E93" s="3312">
        <v>66924</v>
      </c>
      <c r="F93" s="3313" t="s">
        <v>3225</v>
      </c>
      <c r="G93" s="3312">
        <f t="shared" si="1"/>
        <v>1.2</v>
      </c>
      <c r="H93" s="3312" t="s">
        <v>3027</v>
      </c>
      <c r="I93" s="3312" t="s">
        <v>3258</v>
      </c>
      <c r="J93" s="3312" t="s">
        <v>3334</v>
      </c>
      <c r="K93" s="3312" t="s">
        <v>3334</v>
      </c>
      <c r="L93" s="3312">
        <v>10400</v>
      </c>
      <c r="M93" s="3312">
        <v>10500</v>
      </c>
      <c r="N93" s="3312">
        <v>1568.94</v>
      </c>
      <c r="O93" s="3312">
        <v>0.96</v>
      </c>
      <c r="P93" s="3312" t="s">
        <v>3335</v>
      </c>
      <c r="Q93" s="3312" t="s">
        <v>3053</v>
      </c>
    </row>
    <row r="94" spans="1:17" ht="40.5" hidden="1">
      <c r="A94" s="3313" t="s">
        <v>3336</v>
      </c>
      <c r="B94" s="3312" t="s">
        <v>3024</v>
      </c>
      <c r="C94" s="3312" t="s">
        <v>3025</v>
      </c>
      <c r="D94" s="3312">
        <v>43480</v>
      </c>
      <c r="E94" s="3312">
        <v>56524</v>
      </c>
      <c r="F94" s="3313" t="s">
        <v>3337</v>
      </c>
      <c r="G94" s="3312">
        <f t="shared" si="1"/>
        <v>1.3</v>
      </c>
      <c r="H94" s="3312" t="s">
        <v>3027</v>
      </c>
      <c r="I94" s="3312" t="s">
        <v>3258</v>
      </c>
      <c r="J94" s="3312" t="s">
        <v>3334</v>
      </c>
      <c r="K94" s="3312" t="s">
        <v>3334</v>
      </c>
      <c r="L94" s="3312">
        <v>8550</v>
      </c>
      <c r="M94" s="3312">
        <v>8600</v>
      </c>
      <c r="N94" s="3312">
        <v>1521.48</v>
      </c>
      <c r="O94" s="3312">
        <v>0.57999999999999996</v>
      </c>
      <c r="P94" s="3312" t="s">
        <v>3335</v>
      </c>
      <c r="Q94" s="3312" t="s">
        <v>3053</v>
      </c>
    </row>
    <row r="95" spans="1:17" ht="40.5" hidden="1">
      <c r="A95" s="3313" t="s">
        <v>3338</v>
      </c>
      <c r="B95" s="3312" t="s">
        <v>3024</v>
      </c>
      <c r="C95" s="3312" t="s">
        <v>3025</v>
      </c>
      <c r="D95" s="3312">
        <v>40836</v>
      </c>
      <c r="E95" s="3312">
        <v>102090</v>
      </c>
      <c r="F95" s="3313" t="s">
        <v>3339</v>
      </c>
      <c r="G95" s="3312">
        <f t="shared" si="1"/>
        <v>2.5</v>
      </c>
      <c r="H95" s="3312" t="s">
        <v>3027</v>
      </c>
      <c r="I95" s="3312" t="s">
        <v>3258</v>
      </c>
      <c r="J95" s="3312" t="s">
        <v>3334</v>
      </c>
      <c r="K95" s="3312" t="s">
        <v>3334</v>
      </c>
      <c r="L95" s="3312">
        <v>10800</v>
      </c>
      <c r="M95" s="3312">
        <v>11000</v>
      </c>
      <c r="N95" s="3312">
        <v>1077.48</v>
      </c>
      <c r="O95" s="3312">
        <v>1.85</v>
      </c>
      <c r="P95" s="3312" t="s">
        <v>3340</v>
      </c>
      <c r="Q95" s="3312" t="s">
        <v>3053</v>
      </c>
    </row>
    <row r="96" spans="1:17" ht="40.5" hidden="1">
      <c r="A96" s="3313" t="s">
        <v>3341</v>
      </c>
      <c r="B96" s="3312" t="s">
        <v>3024</v>
      </c>
      <c r="C96" s="3312" t="s">
        <v>3025</v>
      </c>
      <c r="D96" s="3312">
        <v>32357</v>
      </c>
      <c r="E96" s="3312">
        <v>64714</v>
      </c>
      <c r="F96" s="3313" t="s">
        <v>3319</v>
      </c>
      <c r="G96" s="3312">
        <f t="shared" si="1"/>
        <v>2</v>
      </c>
      <c r="H96" s="3312" t="s">
        <v>3027</v>
      </c>
      <c r="I96" s="3312" t="s">
        <v>3258</v>
      </c>
      <c r="J96" s="3312" t="s">
        <v>3334</v>
      </c>
      <c r="K96" s="3312" t="s">
        <v>3334</v>
      </c>
      <c r="L96" s="3312">
        <v>6500</v>
      </c>
      <c r="M96" s="3312">
        <v>6600</v>
      </c>
      <c r="N96" s="3312">
        <v>1019.87</v>
      </c>
      <c r="O96" s="3312">
        <v>1.54</v>
      </c>
      <c r="P96" s="3312" t="s">
        <v>3340</v>
      </c>
      <c r="Q96" s="3312" t="s">
        <v>3053</v>
      </c>
    </row>
    <row r="97" spans="1:17" ht="40.5" hidden="1">
      <c r="A97" s="3313" t="s">
        <v>3342</v>
      </c>
      <c r="B97" s="3312" t="s">
        <v>3024</v>
      </c>
      <c r="C97" s="3312" t="s">
        <v>3025</v>
      </c>
      <c r="D97" s="3312">
        <v>47011</v>
      </c>
      <c r="E97" s="3312">
        <v>94022</v>
      </c>
      <c r="F97" s="3313" t="s">
        <v>3319</v>
      </c>
      <c r="G97" s="3312">
        <f t="shared" si="1"/>
        <v>2</v>
      </c>
      <c r="H97" s="3312" t="s">
        <v>3027</v>
      </c>
      <c r="I97" s="3312" t="s">
        <v>3258</v>
      </c>
      <c r="J97" s="3312" t="s">
        <v>3334</v>
      </c>
      <c r="K97" s="3312" t="s">
        <v>3334</v>
      </c>
      <c r="L97" s="3312">
        <v>11200</v>
      </c>
      <c r="M97" s="3312">
        <v>11500</v>
      </c>
      <c r="N97" s="3312">
        <v>1223.1099999999999</v>
      </c>
      <c r="O97" s="3312">
        <v>2.68</v>
      </c>
      <c r="P97" s="3312" t="s">
        <v>2990</v>
      </c>
      <c r="Q97" s="3312" t="s">
        <v>3053</v>
      </c>
    </row>
    <row r="98" spans="1:17" ht="40.5" hidden="1">
      <c r="A98" s="3313" t="s">
        <v>3343</v>
      </c>
      <c r="B98" s="3312" t="s">
        <v>3024</v>
      </c>
      <c r="C98" s="3312" t="s">
        <v>3025</v>
      </c>
      <c r="D98" s="3312">
        <v>20506.09</v>
      </c>
      <c r="E98" s="3312">
        <v>82024.36</v>
      </c>
      <c r="F98" s="3313" t="s">
        <v>3344</v>
      </c>
      <c r="G98" s="3312">
        <f t="shared" si="1"/>
        <v>4</v>
      </c>
      <c r="H98" s="3312" t="s">
        <v>3027</v>
      </c>
      <c r="I98" s="3312" t="s">
        <v>3258</v>
      </c>
      <c r="J98" s="3312" t="s">
        <v>3345</v>
      </c>
      <c r="K98" s="3312" t="s">
        <v>3345</v>
      </c>
      <c r="L98" s="3312">
        <v>6550</v>
      </c>
      <c r="M98" s="3312">
        <v>6810</v>
      </c>
      <c r="N98" s="3312">
        <v>830.24</v>
      </c>
      <c r="O98" s="3312">
        <v>3.97</v>
      </c>
      <c r="P98" s="3312" t="s">
        <v>3346</v>
      </c>
      <c r="Q98" s="3312" t="s">
        <v>3053</v>
      </c>
    </row>
    <row r="99" spans="1:17" ht="40.5" hidden="1">
      <c r="A99" s="3313" t="s">
        <v>3347</v>
      </c>
      <c r="B99" s="3312" t="s">
        <v>3024</v>
      </c>
      <c r="C99" s="3312" t="s">
        <v>3025</v>
      </c>
      <c r="D99" s="3312">
        <v>55500</v>
      </c>
      <c r="E99" s="3312">
        <v>69930</v>
      </c>
      <c r="F99" s="3313" t="s">
        <v>3283</v>
      </c>
      <c r="G99" s="3312">
        <f t="shared" si="1"/>
        <v>1.26</v>
      </c>
      <c r="H99" s="3312" t="s">
        <v>3027</v>
      </c>
      <c r="I99" s="3312" t="s">
        <v>3258</v>
      </c>
      <c r="J99" s="3312" t="s">
        <v>3348</v>
      </c>
      <c r="K99" s="3312" t="s">
        <v>3348</v>
      </c>
      <c r="L99" s="3312">
        <v>7100</v>
      </c>
      <c r="M99" s="3312">
        <v>7100</v>
      </c>
      <c r="N99" s="3312">
        <v>1015.29</v>
      </c>
      <c r="O99" s="3312">
        <v>0</v>
      </c>
      <c r="P99" s="3312" t="s">
        <v>3340</v>
      </c>
      <c r="Q99" s="3312" t="s">
        <v>3053</v>
      </c>
    </row>
    <row r="100" spans="1:17" ht="40.5" hidden="1">
      <c r="A100" s="3313" t="s">
        <v>3349</v>
      </c>
      <c r="B100" s="3312" t="s">
        <v>3024</v>
      </c>
      <c r="C100" s="3312" t="s">
        <v>3025</v>
      </c>
      <c r="D100" s="3312">
        <v>41429</v>
      </c>
      <c r="E100" s="3312">
        <v>124287</v>
      </c>
      <c r="F100" s="3313" t="s">
        <v>3350</v>
      </c>
      <c r="G100" s="3312">
        <f t="shared" si="1"/>
        <v>3</v>
      </c>
      <c r="H100" s="3312" t="s">
        <v>3027</v>
      </c>
      <c r="I100" s="3312" t="s">
        <v>3258</v>
      </c>
      <c r="J100" s="3312" t="s">
        <v>3348</v>
      </c>
      <c r="K100" s="3312" t="s">
        <v>3348</v>
      </c>
      <c r="L100" s="3312">
        <v>6350</v>
      </c>
      <c r="M100" s="3312">
        <v>6350</v>
      </c>
      <c r="N100" s="3312">
        <v>510.91</v>
      </c>
      <c r="O100" s="3312">
        <v>0</v>
      </c>
      <c r="P100" s="3312" t="s">
        <v>3340</v>
      </c>
      <c r="Q100" s="3312" t="s">
        <v>3053</v>
      </c>
    </row>
    <row r="101" spans="1:17" ht="40.5" hidden="1">
      <c r="A101" s="3313" t="s">
        <v>3351</v>
      </c>
      <c r="B101" s="3312" t="s">
        <v>3024</v>
      </c>
      <c r="C101" s="3312" t="s">
        <v>3025</v>
      </c>
      <c r="D101" s="3312">
        <v>60388.800000000003</v>
      </c>
      <c r="E101" s="3312">
        <v>120777.60000000001</v>
      </c>
      <c r="F101" s="3313" t="s">
        <v>3319</v>
      </c>
      <c r="G101" s="3312">
        <f t="shared" si="1"/>
        <v>2</v>
      </c>
      <c r="H101" s="3312" t="s">
        <v>3027</v>
      </c>
      <c r="I101" s="3312" t="s">
        <v>3258</v>
      </c>
      <c r="J101" s="3312" t="s">
        <v>3348</v>
      </c>
      <c r="K101" s="3312" t="s">
        <v>3348</v>
      </c>
      <c r="L101" s="3312">
        <v>8300</v>
      </c>
      <c r="M101" s="3312">
        <v>8310</v>
      </c>
      <c r="N101" s="3312">
        <v>688.03</v>
      </c>
      <c r="O101" s="3312">
        <v>0.12</v>
      </c>
      <c r="P101" s="3312" t="s">
        <v>3340</v>
      </c>
      <c r="Q101" s="3312" t="s">
        <v>3064</v>
      </c>
    </row>
  </sheetData>
  <autoFilter ref="A1:WVY101" xr:uid="{00000000-0009-0000-0000-000020000000}">
    <filterColumn colId="0">
      <customFilters>
        <customFilter operator="notEqual" val="*还地桥*"/>
      </customFilters>
    </filterColumn>
  </autoFilter>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rgb="FF92D050"/>
    <pageSetUpPr fitToPage="1"/>
  </sheetPr>
  <dimension ref="A1:AE490"/>
  <sheetViews>
    <sheetView view="pageBreakPreview" zoomScaleNormal="80" zoomScaleSheetLayoutView="100" workbookViewId="0">
      <selection activeCell="J26" sqref="J26"/>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6570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1737</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5212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347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21421</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30" t="s">
        <v>914</v>
      </c>
      <c r="D7" s="430"/>
      <c r="E7" s="430"/>
      <c r="F7" s="430"/>
      <c r="G7" s="430"/>
      <c r="H7" s="430"/>
      <c r="I7" s="430"/>
      <c r="J7" s="430"/>
      <c r="K7" s="431"/>
      <c r="AA7" s="1994"/>
      <c r="AB7" s="1994"/>
      <c r="AC7" s="1994"/>
      <c r="AD7" s="1994"/>
      <c r="AE7" s="1994"/>
    </row>
    <row r="8" spans="1:31" s="1997" customFormat="1" ht="13.5" customHeight="1">
      <c r="A8" s="793" t="s">
        <v>1836</v>
      </c>
      <c r="B8" s="259" t="s">
        <v>466</v>
      </c>
      <c r="C8" s="2551">
        <f>'不动产比较法-住宅'!B3</f>
        <v>5664</v>
      </c>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37819.53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'不动产比较法-住宅'!B2</f>
        <v>21421</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1839</v>
      </c>
      <c r="B13" s="2560" t="s">
        <v>473</v>
      </c>
      <c r="C13" s="444">
        <f ca="1">IF(B1="",'数据-取费表'!P16,INDIRECT("'数据-取费表'!p"&amp;$K$1)+INDIRECT("'数据-取费表'!t"&amp;$K$1))</f>
        <v>8320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250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416</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454</v>
      </c>
      <c r="D16" s="2561">
        <f ca="1">IF(B1="",'数据-汇总表'!E3,INDIRECT("'数据-取费表'!K"&amp;$K$1)+INDIRECT("'数据-取费表'!S"&amp;$K$1))</f>
        <v>37819.53</v>
      </c>
      <c r="E16" s="53">
        <f>'数据-取费表'!B35</f>
        <v>120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125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9565</v>
      </c>
      <c r="D18" s="2570"/>
      <c r="E18" s="462"/>
      <c r="F18" s="462"/>
      <c r="G18" s="2533" t="s">
        <v>2409</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227</v>
      </c>
      <c r="D19" s="2571">
        <f ca="1">D16</f>
        <v>37819.53</v>
      </c>
      <c r="E19" s="2525">
        <f>'数据-取费表'!B32</f>
        <v>60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151</v>
      </c>
      <c r="D20" s="2571"/>
      <c r="E20" s="2525"/>
      <c r="F20" s="2572"/>
      <c r="G20" s="2776"/>
      <c r="H20" s="2527"/>
      <c r="I20" s="2528" t="s">
        <v>2627</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151</v>
      </c>
      <c r="D21" s="2561">
        <f ca="1">IF(B1="",'数据-汇总表'!E5,IF(INDIRECT("'数据-取费表'!c"&amp;$K$1)="住宅",INDIRECT("'数据-取费表'!k"&amp;$K$1),0))</f>
        <v>37819.53</v>
      </c>
      <c r="E21" s="53">
        <f>'数据-取费表'!B27</f>
        <v>40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0</v>
      </c>
      <c r="E22" s="53">
        <f>'数据-取费表'!B28</f>
        <v>40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2809</v>
      </c>
      <c r="C23" s="2569">
        <f ca="1">ROUND((C18+C19+C20)*F23,0)</f>
        <v>199</v>
      </c>
      <c r="D23" s="462"/>
      <c r="E23" s="462"/>
      <c r="F23" s="2573">
        <f>'数据-取费表'!B37</f>
        <v>0.02</v>
      </c>
      <c r="G23" s="2529" t="s">
        <v>2410</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1850</v>
      </c>
      <c r="B24" s="2748" t="s">
        <v>2812</v>
      </c>
      <c r="C24" s="2569">
        <f>ROUND(C6*F24,0)</f>
        <v>428</v>
      </c>
      <c r="D24" s="469"/>
      <c r="E24" s="467"/>
      <c r="F24" s="2573">
        <f>'数据-取费表'!B38</f>
        <v>0.02</v>
      </c>
      <c r="G24" s="2538" t="s">
        <v>493</v>
      </c>
      <c r="H24" s="2532"/>
      <c r="I24" s="2532"/>
      <c r="J24" s="2532"/>
      <c r="K24" s="277"/>
      <c r="L24" s="3196"/>
      <c r="M24" s="3196"/>
      <c r="N24" s="3196"/>
      <c r="O24" s="1999"/>
      <c r="P24" s="1999"/>
      <c r="Q24" s="1999"/>
      <c r="R24" s="1999"/>
      <c r="S24" s="1999"/>
      <c r="T24" s="1999"/>
      <c r="U24" s="1999"/>
      <c r="V24" s="1999"/>
      <c r="W24" s="1999"/>
      <c r="X24" s="1999"/>
      <c r="Y24" s="1999"/>
      <c r="Z24" s="1999"/>
    </row>
    <row r="25" spans="1:26" s="2001" customFormat="1" ht="13.5" customHeight="1">
      <c r="A25" s="2567" t="s">
        <v>1851</v>
      </c>
      <c r="B25" s="2748" t="s">
        <v>2810</v>
      </c>
      <c r="C25" s="461">
        <f>ROUND(F25/(1+'数据-取费表'!C42),4)</f>
        <v>3.8600000000000002E-2</v>
      </c>
      <c r="D25" s="456" t="s">
        <v>2804</v>
      </c>
      <c r="E25" s="463"/>
      <c r="F25" s="2573">
        <f>IF(项目基本情况!B8="出让",0,'数据-取费表'!B48+'数据-取费表'!B49)</f>
        <v>4.0500000000000001E-2</v>
      </c>
      <c r="G25" s="2537" t="s">
        <v>2274</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1852</v>
      </c>
      <c r="B26" s="2749" t="s">
        <v>2811</v>
      </c>
      <c r="C26" s="2574">
        <f ca="1">C28</f>
        <v>502</v>
      </c>
      <c r="D26" s="461">
        <f ca="1">C27</f>
        <v>0.10100000000000001</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3" t="s">
        <v>1847</v>
      </c>
      <c r="B27" s="2575" t="s">
        <v>490</v>
      </c>
      <c r="C27" s="2576">
        <f ca="1">ROUND(IF('数据-取费表'!B22&lt;=1,(1+C25)*F26*'数据-取费表'!B24,(1+C25)*(POWER((1+F26),'数据-取费表'!B24)-1)),4)</f>
        <v>0.10100000000000001</v>
      </c>
      <c r="D27" s="466"/>
      <c r="E27" s="467"/>
      <c r="F27" s="468"/>
      <c r="G27" s="2424" t="str">
        <f>IF('数据-取费表'!B22&lt;=1,"（1+取得税费率/(1+5%)）×年利率×建设期","（1+取得税费率）/(1+5%)×((1+年利率)^建设期-1)")</f>
        <v>（1+取得税费率）/(1+5%)×((1+年利率)^建设期-1)</v>
      </c>
      <c r="H27" s="2532"/>
      <c r="I27" s="2532"/>
      <c r="J27" s="2532"/>
      <c r="K27" s="277"/>
      <c r="L27" s="3198"/>
      <c r="M27" s="3198"/>
      <c r="N27" s="3198"/>
      <c r="O27" s="3198"/>
      <c r="P27" s="3198"/>
      <c r="Q27" s="3198"/>
      <c r="R27" s="3198"/>
      <c r="S27" s="3198"/>
      <c r="T27" s="3198"/>
      <c r="U27" s="3198"/>
      <c r="V27" s="3198"/>
      <c r="W27" s="3198"/>
      <c r="X27" s="3198"/>
      <c r="Y27" s="3198"/>
      <c r="Z27" s="3198"/>
    </row>
    <row r="28" spans="1:26" s="2002" customFormat="1" ht="13.5" customHeight="1">
      <c r="A28" s="793" t="s">
        <v>1848</v>
      </c>
      <c r="B28" s="2575" t="s">
        <v>2813</v>
      </c>
      <c r="C28" s="2577">
        <f ca="1">ROUND(IF('数据-取费表'!B22&lt;=1,(C18+C19+C20+C23+C24)*F26*'数据-取费表'!B24/2,(C18+C19+C20+C23+C24)*(POWER((1+F26),'数据-取费表'!B24/2)-1)),0)</f>
        <v>502</v>
      </c>
      <c r="D28" s="466"/>
      <c r="E28" s="467"/>
      <c r="F28" s="468"/>
      <c r="G28" s="2424" t="str">
        <f>IF('数据-取费表'!B22&lt;=1,"（1）-（4）项×年利率×建设期÷2","（1）-（4）项×((1+年利率)^(建设期÷2)-1)")</f>
        <v>（1）-（4）项×((1+年利率)^(建设期÷2)-1)</v>
      </c>
      <c r="H28" s="2532"/>
      <c r="I28" s="2532"/>
      <c r="J28" s="2532"/>
      <c r="K28" s="277"/>
      <c r="L28" s="3198"/>
      <c r="M28" s="3198"/>
      <c r="N28" s="3198"/>
      <c r="O28" s="3198"/>
      <c r="P28" s="3198"/>
      <c r="Q28" s="3198"/>
      <c r="R28" s="3198"/>
      <c r="S28" s="3198"/>
      <c r="T28" s="3198"/>
      <c r="U28" s="3198"/>
      <c r="V28" s="3198"/>
      <c r="W28" s="3198"/>
      <c r="X28" s="3198"/>
      <c r="Y28" s="3198"/>
      <c r="Z28" s="3198"/>
    </row>
    <row r="29" spans="1:26" s="2002" customFormat="1" ht="13.5" customHeight="1">
      <c r="A29" s="2578" t="s">
        <v>1853</v>
      </c>
      <c r="B29" s="2568" t="s">
        <v>491</v>
      </c>
      <c r="C29" s="2569">
        <f>ROUND(C6*F29/(1+'数据-取费表'!C42),0)</f>
        <v>1122</v>
      </c>
      <c r="D29" s="462"/>
      <c r="E29" s="462"/>
      <c r="F29" s="2750">
        <f>'数据-取费表'!B41</f>
        <v>5.5000000000000007E-2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4" t="s">
        <v>1854</v>
      </c>
      <c r="B30" s="2579" t="s">
        <v>494</v>
      </c>
      <c r="C30" s="2574">
        <f ca="1">C31</f>
        <v>12194</v>
      </c>
      <c r="D30" s="471">
        <f ca="1">C32</f>
        <v>0.1396</v>
      </c>
      <c r="E30" s="463" t="s">
        <v>489</v>
      </c>
      <c r="F30" s="465"/>
      <c r="G30" s="2537" t="s">
        <v>2919</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3" t="s">
        <v>1847</v>
      </c>
      <c r="B31" s="2575"/>
      <c r="C31" s="444">
        <f ca="1">C18+C19+C20+C23+C24+C26+C29</f>
        <v>12194</v>
      </c>
      <c r="D31" s="466"/>
      <c r="E31" s="467"/>
      <c r="F31" s="468"/>
      <c r="G31" s="259"/>
      <c r="H31" s="2532"/>
      <c r="I31" s="2532"/>
      <c r="J31" s="2532"/>
      <c r="K31" s="277"/>
      <c r="L31" s="3198"/>
      <c r="M31" s="3198"/>
      <c r="N31" s="3198"/>
      <c r="O31" s="3198"/>
      <c r="P31" s="3198"/>
      <c r="Q31" s="3198"/>
      <c r="R31" s="3198"/>
      <c r="S31" s="3198"/>
      <c r="T31" s="3198"/>
      <c r="U31" s="3198"/>
      <c r="V31" s="3198"/>
      <c r="W31" s="3198"/>
      <c r="X31" s="3198"/>
      <c r="Y31" s="3198"/>
      <c r="Z31" s="3198"/>
    </row>
    <row r="32" spans="1:26" s="2002" customFormat="1" ht="13.5" customHeight="1">
      <c r="A32" s="793" t="s">
        <v>1848</v>
      </c>
      <c r="B32" s="2575"/>
      <c r="C32" s="53">
        <f ca="1">ROUND(C25+D26,4)</f>
        <v>0.1396</v>
      </c>
      <c r="D32" s="466"/>
      <c r="E32" s="467"/>
      <c r="F32" s="468"/>
      <c r="G32" s="259"/>
      <c r="H32" s="2532"/>
      <c r="I32" s="2532"/>
      <c r="J32" s="2532"/>
      <c r="K32" s="277"/>
      <c r="L32" s="3198"/>
      <c r="M32" s="3198"/>
      <c r="N32" s="3198"/>
      <c r="O32" s="3198"/>
      <c r="P32" s="3198"/>
      <c r="Q32" s="3198"/>
      <c r="R32" s="3198"/>
      <c r="S32" s="3198"/>
      <c r="T32" s="3198"/>
      <c r="U32" s="3198"/>
      <c r="V32" s="3198"/>
      <c r="W32" s="3198"/>
      <c r="X32" s="3198"/>
      <c r="Y32" s="3198"/>
      <c r="Z32" s="3198"/>
    </row>
    <row r="33" spans="1:26" s="2004" customFormat="1" ht="13.5" customHeight="1">
      <c r="A33" s="2747" t="s">
        <v>2808</v>
      </c>
      <c r="B33" s="2745" t="s">
        <v>2806</v>
      </c>
      <c r="C33" s="472">
        <f ca="1">C35</f>
        <v>1057</v>
      </c>
      <c r="D33" s="461">
        <f ca="1">C34</f>
        <v>0.10390000000000001</v>
      </c>
      <c r="E33" s="463" t="s">
        <v>489</v>
      </c>
      <c r="F33" s="473">
        <f ca="1">IF(B1="",'数据-取费表'!Q16,INDIRECT("'数据-取费表'!q"&amp;$K$1))</f>
        <v>0.1</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9" t="s">
        <v>1847</v>
      </c>
      <c r="B34" s="2580" t="s">
        <v>495</v>
      </c>
      <c r="C34" s="466">
        <f ca="1">ROUND((1+C25)*F33,4)</f>
        <v>0.10390000000000001</v>
      </c>
      <c r="D34" s="466"/>
      <c r="E34" s="467"/>
      <c r="F34" s="474"/>
      <c r="G34" s="259" t="s">
        <v>2275</v>
      </c>
      <c r="H34" s="2532"/>
      <c r="I34" s="2532"/>
      <c r="J34" s="2532"/>
      <c r="K34" s="277"/>
      <c r="L34" s="3201"/>
      <c r="M34" s="3201"/>
      <c r="N34" s="3201"/>
      <c r="O34" s="3201"/>
      <c r="P34" s="3201"/>
      <c r="Q34" s="3201"/>
      <c r="R34" s="3201"/>
      <c r="S34" s="3201"/>
      <c r="T34" s="3201"/>
      <c r="U34" s="3201"/>
      <c r="V34" s="3201"/>
      <c r="W34" s="3201"/>
      <c r="X34" s="3201"/>
      <c r="Y34" s="3201"/>
      <c r="Z34" s="3201"/>
    </row>
    <row r="35" spans="1:26" s="2005" customFormat="1" ht="13.5" customHeight="1" thickBot="1">
      <c r="A35" s="1565" t="s">
        <v>1848</v>
      </c>
      <c r="B35" s="2746" t="s">
        <v>2814</v>
      </c>
      <c r="C35" s="1557">
        <f ca="1">ROUND((C18+C19+C20+C23+C24)*F33,0)</f>
        <v>1057</v>
      </c>
      <c r="D35" s="1558"/>
      <c r="E35" s="2581"/>
      <c r="F35" s="1559"/>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2" t="s">
        <v>1835</v>
      </c>
      <c r="B36" s="2543"/>
      <c r="C36" s="2582">
        <f ca="1">ROUND((C6-C30-C33)/(1+D30+D33),0)</f>
        <v>6570</v>
      </c>
      <c r="D36" s="2543"/>
      <c r="E36" s="2543"/>
      <c r="F36" s="2543"/>
      <c r="G36" s="2542" t="s">
        <v>2815</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xr:uid="{00000000-0002-0000-2100-000000000000}">
      <formula1>项目类型</formula1>
    </dataValidation>
    <dataValidation type="list" allowBlank="1" showInputMessage="1" showErrorMessage="1" sqref="G20" xr:uid="{00000000-0002-0000-2100-000001000000}">
      <formula1>"已全部缴纳,已部分缴纳"</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zoomScaleSheetLayoutView="100" workbookViewId="0">
      <selection activeCell="I5" sqref="I5:J5"/>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t="s">
        <v>914</v>
      </c>
      <c r="E1" s="2009"/>
      <c r="F1" s="2524" t="s">
        <v>3173</v>
      </c>
      <c r="G1" s="1532" t="s">
        <v>715</v>
      </c>
      <c r="H1" s="500"/>
      <c r="I1" s="500"/>
      <c r="J1" s="500"/>
      <c r="K1" s="501"/>
      <c r="L1" s="3207"/>
      <c r="M1" s="3208"/>
      <c r="N1" s="3208"/>
      <c r="O1" s="3208"/>
      <c r="P1" s="1500"/>
      <c r="Q1" s="1500"/>
      <c r="R1" s="1500"/>
      <c r="S1" s="1500"/>
      <c r="T1" s="1500"/>
      <c r="U1" s="1500"/>
      <c r="V1" s="1500"/>
      <c r="W1" s="1500"/>
      <c r="X1" s="1500"/>
      <c r="Y1" s="1500"/>
      <c r="Z1" s="1500"/>
      <c r="AA1" s="1500"/>
      <c r="AB1" s="1500"/>
      <c r="AC1" s="1501"/>
    </row>
    <row r="2" spans="1:29" s="1315" customFormat="1" ht="28.5" customHeight="1">
      <c r="A2" s="417" t="s">
        <v>461</v>
      </c>
      <c r="B2" s="2466">
        <f>ROUND(B3*D3/10000,0)</f>
        <v>21421</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5664</v>
      </c>
      <c r="C3" s="841" t="s">
        <v>716</v>
      </c>
      <c r="D3" s="840">
        <f>SUMIF('数据-汇总表'!$C19:$C33,D1,'数据-汇总表'!$E19:$E33)</f>
        <v>37819.53</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12" t="s">
        <v>516</v>
      </c>
      <c r="D4" s="3513"/>
      <c r="E4" s="3548" t="s">
        <v>517</v>
      </c>
      <c r="F4" s="3549"/>
      <c r="G4" s="3512" t="s">
        <v>518</v>
      </c>
      <c r="H4" s="3513"/>
      <c r="I4" s="3512" t="s">
        <v>519</v>
      </c>
      <c r="J4" s="3513"/>
      <c r="K4" s="842" t="s">
        <v>520</v>
      </c>
      <c r="L4" s="2015"/>
      <c r="M4" s="2016"/>
      <c r="N4" s="2016"/>
      <c r="O4" s="2016"/>
      <c r="P4" s="3514" t="s">
        <v>521</v>
      </c>
      <c r="Q4" s="3515"/>
      <c r="R4" s="3520" t="s">
        <v>517</v>
      </c>
      <c r="S4" s="3521"/>
      <c r="T4" s="3520" t="s">
        <v>518</v>
      </c>
      <c r="U4" s="3521"/>
      <c r="V4" s="3507" t="s">
        <v>519</v>
      </c>
      <c r="W4" s="3507"/>
      <c r="X4" s="1502"/>
      <c r="Y4" s="3520" t="s">
        <v>521</v>
      </c>
      <c r="Z4" s="3521"/>
      <c r="AA4" s="3509" t="s">
        <v>517</v>
      </c>
      <c r="AB4" s="3509" t="s">
        <v>518</v>
      </c>
      <c r="AC4" s="3509" t="s">
        <v>519</v>
      </c>
    </row>
    <row r="5" spans="1:29" ht="15">
      <c r="A5" s="509"/>
      <c r="B5" s="510"/>
      <c r="C5" s="3630" t="s">
        <v>3199</v>
      </c>
      <c r="D5" s="3631"/>
      <c r="E5" s="3634" t="str">
        <f>开发完成后!A2</f>
        <v>誉帮长乐府</v>
      </c>
      <c r="F5" s="3635"/>
      <c r="G5" s="3630" t="str">
        <f>开发完成后!A3</f>
        <v>金湖星都</v>
      </c>
      <c r="H5" s="3631"/>
      <c r="I5" s="3630" t="str">
        <f>开发完成后!A5</f>
        <v>金茂观澜府</v>
      </c>
      <c r="J5" s="3631"/>
      <c r="K5" s="843"/>
      <c r="L5" s="2015"/>
      <c r="M5" s="2016"/>
      <c r="N5" s="2016"/>
      <c r="O5" s="2016"/>
      <c r="P5" s="3516"/>
      <c r="Q5" s="3517"/>
      <c r="R5" s="3522"/>
      <c r="S5" s="3523"/>
      <c r="T5" s="3522"/>
      <c r="U5" s="3523"/>
      <c r="V5" s="3507"/>
      <c r="W5" s="3507"/>
      <c r="X5" s="1502"/>
      <c r="Y5" s="3522"/>
      <c r="Z5" s="3523"/>
      <c r="AA5" s="3510"/>
      <c r="AB5" s="3510"/>
      <c r="AC5" s="3510"/>
    </row>
    <row r="6" spans="1:29" ht="15.75" thickBot="1">
      <c r="A6" s="511"/>
      <c r="B6" s="512"/>
      <c r="C6" s="3628" t="s">
        <v>3200</v>
      </c>
      <c r="D6" s="3629"/>
      <c r="E6" s="3632" t="s">
        <v>3200</v>
      </c>
      <c r="F6" s="3633"/>
      <c r="G6" s="3628" t="s">
        <v>3200</v>
      </c>
      <c r="H6" s="3629"/>
      <c r="I6" s="3628" t="s">
        <v>3200</v>
      </c>
      <c r="J6" s="3629"/>
      <c r="K6" s="843" t="s">
        <v>522</v>
      </c>
      <c r="L6" s="2015"/>
      <c r="M6" s="2016"/>
      <c r="N6" s="2016"/>
      <c r="O6" s="2016"/>
      <c r="P6" s="3518"/>
      <c r="Q6" s="3519"/>
      <c r="R6" s="3522"/>
      <c r="S6" s="3523"/>
      <c r="T6" s="3524"/>
      <c r="U6" s="3525"/>
      <c r="V6" s="3507"/>
      <c r="W6" s="3507"/>
      <c r="X6" s="1502"/>
      <c r="Y6" s="3524"/>
      <c r="Z6" s="3525"/>
      <c r="AA6" s="3511"/>
      <c r="AB6" s="3511"/>
      <c r="AC6" s="3511"/>
    </row>
    <row r="7" spans="1:29" s="1203" customFormat="1" ht="15.75" thickBot="1">
      <c r="A7" s="2629"/>
      <c r="B7" s="2636" t="s">
        <v>523</v>
      </c>
      <c r="C7" s="513">
        <f>'数据-取费表'!B2</f>
        <v>44166</v>
      </c>
      <c r="D7" s="514">
        <v>100</v>
      </c>
      <c r="E7" s="515">
        <f>C7</f>
        <v>44166</v>
      </c>
      <c r="F7" s="516">
        <f>SUMIF(58:58,YEAR(E7)&amp;"-"&amp;MONTH(E7),59:59)</f>
        <v>100</v>
      </c>
      <c r="G7" s="517">
        <f>C7</f>
        <v>44166</v>
      </c>
      <c r="H7" s="514">
        <f>SUMIF(58:58,YEAR(G7)&amp;"-"&amp;MONTH(G7),59:59)</f>
        <v>100</v>
      </c>
      <c r="I7" s="517">
        <f>C7</f>
        <v>44166</v>
      </c>
      <c r="J7" s="514">
        <f>SUMIF(58:58,YEAR(I7)&amp;"-"&amp;MONTH(I7),59:59)</f>
        <v>100</v>
      </c>
      <c r="K7" s="844"/>
      <c r="L7" s="2017"/>
      <c r="M7" s="2018"/>
      <c r="N7" s="2018"/>
      <c r="O7" s="2018"/>
      <c r="P7" s="3539" t="s">
        <v>524</v>
      </c>
      <c r="Q7" s="3541"/>
      <c r="R7" s="1503" t="s">
        <v>13</v>
      </c>
      <c r="S7" s="1504">
        <f t="shared" ref="S7:S15" si="0">F7</f>
        <v>100</v>
      </c>
      <c r="T7" s="1503" t="s">
        <v>13</v>
      </c>
      <c r="U7" s="1504">
        <f t="shared" ref="U7:U15" si="1">H7</f>
        <v>100</v>
      </c>
      <c r="V7" s="1503" t="s">
        <v>13</v>
      </c>
      <c r="W7" s="1504">
        <f t="shared" ref="W7:W15" si="2">J7</f>
        <v>100</v>
      </c>
      <c r="X7" s="1505"/>
      <c r="Y7" s="3539" t="s">
        <v>524</v>
      </c>
      <c r="Z7" s="3540"/>
      <c r="AA7" s="1506">
        <f>D7/F7</f>
        <v>1</v>
      </c>
      <c r="AB7" s="1506">
        <f>D7/H7</f>
        <v>1</v>
      </c>
      <c r="AC7" s="1506">
        <f>D7/J7</f>
        <v>1</v>
      </c>
    </row>
    <row r="8" spans="1:29" s="1203" customFormat="1" ht="15.75" thickBot="1">
      <c r="A8" s="2630"/>
      <c r="B8" s="2637" t="s">
        <v>525</v>
      </c>
      <c r="C8" s="519" t="s">
        <v>570</v>
      </c>
      <c r="D8" s="514">
        <v>100</v>
      </c>
      <c r="E8" s="845" t="s">
        <v>3172</v>
      </c>
      <c r="F8" s="516">
        <f>SUMIF(61:61,E8,62:62)-SUMIF(61:61,C8,62:62)+100</f>
        <v>100</v>
      </c>
      <c r="G8" s="519" t="s">
        <v>3172</v>
      </c>
      <c r="H8" s="514">
        <f>SUMIF(61:61,G8,62:62)-SUMIF(61:61,C8,62:62)+100</f>
        <v>100</v>
      </c>
      <c r="I8" s="845" t="s">
        <v>3172</v>
      </c>
      <c r="J8" s="514">
        <f>SUMIF(61:61,I8,62:62)-SUMIF(61:61,C8,62:62)+100</f>
        <v>100</v>
      </c>
      <c r="K8" s="844"/>
      <c r="L8" s="2017"/>
      <c r="M8" s="2018"/>
      <c r="N8" s="2018"/>
      <c r="O8" s="2018"/>
      <c r="P8" s="3539" t="s">
        <v>527</v>
      </c>
      <c r="Q8" s="3540"/>
      <c r="R8" s="1503" t="s">
        <v>13</v>
      </c>
      <c r="S8" s="1504">
        <f t="shared" si="0"/>
        <v>100</v>
      </c>
      <c r="T8" s="1503" t="s">
        <v>13</v>
      </c>
      <c r="U8" s="1504">
        <f t="shared" si="1"/>
        <v>100</v>
      </c>
      <c r="V8" s="1503" t="s">
        <v>13</v>
      </c>
      <c r="W8" s="1504">
        <f t="shared" si="2"/>
        <v>100</v>
      </c>
      <c r="X8" s="1505"/>
      <c r="Y8" s="3539" t="s">
        <v>527</v>
      </c>
      <c r="Z8" s="3540"/>
      <c r="AA8" s="1506">
        <f t="shared" ref="AA8:AA46" si="3">D8/F8</f>
        <v>1</v>
      </c>
      <c r="AB8" s="1506">
        <f t="shared" ref="AB8:AB46" si="4">D8/H8</f>
        <v>1</v>
      </c>
      <c r="AC8" s="1506">
        <f t="shared" ref="AC8:AC46" si="5">D8/J8</f>
        <v>1</v>
      </c>
    </row>
    <row r="9" spans="1:29" s="1203" customFormat="1" ht="15">
      <c r="A9" s="2631"/>
      <c r="B9" s="2638" t="s">
        <v>2732</v>
      </c>
      <c r="C9" s="3305" t="s">
        <v>3174</v>
      </c>
      <c r="D9" s="252">
        <v>100</v>
      </c>
      <c r="E9" s="847" t="s">
        <v>914</v>
      </c>
      <c r="F9" s="848">
        <f>SUMIF(63:63,E9,64:64)-SUMIF(63:63,C9,64:64)+100</f>
        <v>100</v>
      </c>
      <c r="G9" s="849" t="s">
        <v>914</v>
      </c>
      <c r="H9" s="252">
        <f>SUMIF(63:63,G9,64:64)-SUMIF(63:63,C9,64:64)+100</f>
        <v>100</v>
      </c>
      <c r="I9" s="849" t="s">
        <v>914</v>
      </c>
      <c r="J9" s="252">
        <f>SUMIF(63:63,I9,64:64)-SUMIF(63:63,C9,64:64)+100</f>
        <v>100</v>
      </c>
      <c r="K9" s="844"/>
      <c r="L9" s="2017"/>
      <c r="M9" s="2018"/>
      <c r="N9" s="2018"/>
      <c r="O9" s="2019"/>
      <c r="P9" s="3506" t="s">
        <v>529</v>
      </c>
      <c r="Q9" s="1134" t="str">
        <f t="shared" ref="Q9:Q15" si="6">B9</f>
        <v>用途</v>
      </c>
      <c r="R9" s="1503" t="s">
        <v>8</v>
      </c>
      <c r="S9" s="1504">
        <f t="shared" si="0"/>
        <v>100</v>
      </c>
      <c r="T9" s="1503" t="s">
        <v>8</v>
      </c>
      <c r="U9" s="1504">
        <f t="shared" si="1"/>
        <v>100</v>
      </c>
      <c r="V9" s="1503" t="s">
        <v>8</v>
      </c>
      <c r="W9" s="1504">
        <f t="shared" si="2"/>
        <v>100</v>
      </c>
      <c r="X9" s="1505"/>
      <c r="Y9" s="3452" t="s">
        <v>530</v>
      </c>
      <c r="Z9" s="1133" t="str">
        <f t="shared" ref="Z9:Z15" si="7">Q9</f>
        <v>用途</v>
      </c>
      <c r="AA9" s="1506">
        <f t="shared" si="3"/>
        <v>1</v>
      </c>
      <c r="AB9" s="1506">
        <f t="shared" si="4"/>
        <v>1</v>
      </c>
      <c r="AC9" s="1506">
        <f t="shared" si="5"/>
        <v>1</v>
      </c>
    </row>
    <row r="10" spans="1:29" s="1292" customFormat="1" ht="27">
      <c r="A10" s="2632"/>
      <c r="B10" s="2637" t="s">
        <v>2733</v>
      </c>
      <c r="C10" s="850" t="s">
        <v>3175</v>
      </c>
      <c r="D10" s="253">
        <v>100</v>
      </c>
      <c r="E10" s="851" t="s">
        <v>3175</v>
      </c>
      <c r="F10" s="852">
        <f>SUMIF(65:65,E10,66:66)-SUMIF(65:65,C10,66:66)+100</f>
        <v>100</v>
      </c>
      <c r="G10" s="850" t="s">
        <v>3175</v>
      </c>
      <c r="H10" s="253">
        <f>SUMIF(65:65,G10,66:66)-SUMIF(65:65,C10,66:66)+100</f>
        <v>100</v>
      </c>
      <c r="I10" s="850" t="s">
        <v>3175</v>
      </c>
      <c r="J10" s="253">
        <f>SUMIF(65:65,I10,66:66)-SUMIF(65:65,C10,66:66)+100</f>
        <v>100</v>
      </c>
      <c r="K10" s="853">
        <v>2</v>
      </c>
      <c r="L10" s="2020"/>
      <c r="M10" s="2059"/>
      <c r="N10" s="2059"/>
      <c r="O10" s="2021"/>
      <c r="P10" s="3506"/>
      <c r="Q10" s="1134" t="str">
        <f t="shared" si="6"/>
        <v>土地使用年限（年）</v>
      </c>
      <c r="R10" s="1503" t="s">
        <v>8</v>
      </c>
      <c r="S10" s="1504">
        <f t="shared" si="0"/>
        <v>100</v>
      </c>
      <c r="T10" s="1503" t="s">
        <v>8</v>
      </c>
      <c r="U10" s="1504">
        <f t="shared" si="1"/>
        <v>100</v>
      </c>
      <c r="V10" s="1503" t="s">
        <v>8</v>
      </c>
      <c r="W10" s="1504">
        <f t="shared" si="2"/>
        <v>100</v>
      </c>
      <c r="X10" s="1505"/>
      <c r="Y10" s="3452"/>
      <c r="Z10" s="1133" t="str">
        <f t="shared" si="7"/>
        <v>土地使用年限（年）</v>
      </c>
      <c r="AA10" s="1506">
        <f t="shared" si="3"/>
        <v>1</v>
      </c>
      <c r="AB10" s="1506">
        <f t="shared" si="4"/>
        <v>1</v>
      </c>
      <c r="AC10" s="1506">
        <f t="shared" si="5"/>
        <v>1</v>
      </c>
    </row>
    <row r="11" spans="1:29" ht="15.75" thickBot="1">
      <c r="A11" s="2633"/>
      <c r="B11" s="2637" t="s">
        <v>2734</v>
      </c>
      <c r="C11" s="527">
        <v>3</v>
      </c>
      <c r="D11" s="253">
        <v>100</v>
      </c>
      <c r="E11" s="528">
        <f>开发完成后!F2</f>
        <v>4</v>
      </c>
      <c r="F11" s="852">
        <f>LOOKUP(E11,68:68,69:69)-LOOKUP(C11,68:68,69:69)+100</f>
        <v>98</v>
      </c>
      <c r="G11" s="527">
        <v>3.98</v>
      </c>
      <c r="H11" s="253">
        <f>LOOKUP(G11,68:68,69:69)-LOOKUP(C11,68:68,69:69)+100</f>
        <v>100</v>
      </c>
      <c r="I11" s="527">
        <v>2.8</v>
      </c>
      <c r="J11" s="253">
        <f>LOOKUP(I11,68:68,69:69)-LOOKUP(C11,68:68,69:69)+100</f>
        <v>102</v>
      </c>
      <c r="K11" s="853">
        <v>2</v>
      </c>
      <c r="L11" s="2022"/>
      <c r="M11" s="2016"/>
      <c r="N11" s="2016"/>
      <c r="O11" s="2023"/>
      <c r="P11" s="3506"/>
      <c r="Q11" s="1134" t="str">
        <f t="shared" si="6"/>
        <v>容积率</v>
      </c>
      <c r="R11" s="1503" t="s">
        <v>11</v>
      </c>
      <c r="S11" s="1504">
        <f t="shared" si="0"/>
        <v>98</v>
      </c>
      <c r="T11" s="1503" t="s">
        <v>11</v>
      </c>
      <c r="U11" s="1504">
        <f t="shared" si="1"/>
        <v>100</v>
      </c>
      <c r="V11" s="1503" t="s">
        <v>11</v>
      </c>
      <c r="W11" s="1504">
        <f t="shared" si="2"/>
        <v>102</v>
      </c>
      <c r="X11" s="1505"/>
      <c r="Y11" s="3452"/>
      <c r="Z11" s="1133" t="str">
        <f t="shared" si="7"/>
        <v>容积率</v>
      </c>
      <c r="AA11" s="1506">
        <f t="shared" si="3"/>
        <v>1.0204081632653061</v>
      </c>
      <c r="AB11" s="1506">
        <f t="shared" si="4"/>
        <v>1</v>
      </c>
      <c r="AC11" s="1506">
        <f t="shared" si="5"/>
        <v>0.98039215686274506</v>
      </c>
    </row>
    <row r="12" spans="1:29" s="1203" customFormat="1" ht="15" hidden="1">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06"/>
      <c r="Q12" s="1134">
        <f t="shared" si="6"/>
        <v>111</v>
      </c>
      <c r="R12" s="1503" t="s">
        <v>11</v>
      </c>
      <c r="S12" s="1504">
        <f t="shared" si="0"/>
        <v>100</v>
      </c>
      <c r="T12" s="1503" t="s">
        <v>11</v>
      </c>
      <c r="U12" s="1504">
        <f t="shared" si="1"/>
        <v>100</v>
      </c>
      <c r="V12" s="1503" t="s">
        <v>11</v>
      </c>
      <c r="W12" s="1504">
        <f t="shared" si="2"/>
        <v>100</v>
      </c>
      <c r="X12" s="1505"/>
      <c r="Y12" s="3452"/>
      <c r="Z12" s="1133">
        <f t="shared" si="7"/>
        <v>111</v>
      </c>
      <c r="AA12" s="1506">
        <f>D12/F12</f>
        <v>1</v>
      </c>
      <c r="AB12" s="1506">
        <f>D12/H12</f>
        <v>1</v>
      </c>
      <c r="AC12" s="1506">
        <f>D12/J12</f>
        <v>1</v>
      </c>
    </row>
    <row r="13" spans="1:29" ht="15" hidden="1">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06"/>
      <c r="Q13" s="1134">
        <f t="shared" si="6"/>
        <v>111</v>
      </c>
      <c r="R13" s="1503" t="s">
        <v>11</v>
      </c>
      <c r="S13" s="1504">
        <f t="shared" si="0"/>
        <v>100</v>
      </c>
      <c r="T13" s="1503" t="s">
        <v>11</v>
      </c>
      <c r="U13" s="1504">
        <f t="shared" si="1"/>
        <v>100</v>
      </c>
      <c r="V13" s="1503" t="s">
        <v>11</v>
      </c>
      <c r="W13" s="1504">
        <f t="shared" si="2"/>
        <v>100</v>
      </c>
      <c r="X13" s="1505"/>
      <c r="Y13" s="3452"/>
      <c r="Z13" s="1133">
        <f t="shared" si="7"/>
        <v>111</v>
      </c>
      <c r="AA13" s="1506">
        <f t="shared" si="3"/>
        <v>1</v>
      </c>
      <c r="AB13" s="1506">
        <f t="shared" si="4"/>
        <v>1</v>
      </c>
      <c r="AC13" s="1506">
        <f t="shared" si="5"/>
        <v>1</v>
      </c>
    </row>
    <row r="14" spans="1:29" ht="15.75" hidden="1"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06"/>
      <c r="Q14" s="1134">
        <f t="shared" si="6"/>
        <v>111</v>
      </c>
      <c r="R14" s="1503" t="s">
        <v>11</v>
      </c>
      <c r="S14" s="1504">
        <f t="shared" si="0"/>
        <v>100</v>
      </c>
      <c r="T14" s="1503" t="s">
        <v>11</v>
      </c>
      <c r="U14" s="1504">
        <f t="shared" si="1"/>
        <v>100</v>
      </c>
      <c r="V14" s="1503" t="s">
        <v>11</v>
      </c>
      <c r="W14" s="1504">
        <f t="shared" si="2"/>
        <v>100</v>
      </c>
      <c r="X14" s="1505"/>
      <c r="Y14" s="3452"/>
      <c r="Z14" s="1133">
        <f t="shared" si="7"/>
        <v>111</v>
      </c>
      <c r="AA14" s="1506">
        <f t="shared" si="3"/>
        <v>1</v>
      </c>
      <c r="AB14" s="1506">
        <f t="shared" si="4"/>
        <v>1</v>
      </c>
      <c r="AC14" s="1506">
        <f t="shared" si="5"/>
        <v>1</v>
      </c>
    </row>
    <row r="15" spans="1:29" ht="15">
      <c r="A15" s="2627" t="s">
        <v>2730</v>
      </c>
      <c r="B15" s="164" t="s">
        <v>295</v>
      </c>
      <c r="C15" s="856" t="str">
        <f>估价对象房地状况!C3</f>
        <v>一般</v>
      </c>
      <c r="D15" s="543">
        <v>100</v>
      </c>
      <c r="E15" s="544"/>
      <c r="F15" s="545">
        <f>SUMIF(76:76,E16,77:77)-SUMIF(76:76,C16,77:77)+100</f>
        <v>100</v>
      </c>
      <c r="G15" s="546"/>
      <c r="H15" s="543">
        <f>SUMIF(76:76,G16,77:77)-SUMIF(76:76,C16,77:77)+100</f>
        <v>103</v>
      </c>
      <c r="I15" s="544"/>
      <c r="J15" s="543">
        <f>SUMIF(76:76,I16,77:77)-SUMIF(76:76,C16,77:77)+100</f>
        <v>103</v>
      </c>
      <c r="K15" s="857">
        <v>3</v>
      </c>
      <c r="L15" s="2024"/>
      <c r="M15" s="2016"/>
      <c r="N15" s="2016"/>
      <c r="O15" s="2023"/>
      <c r="P15" s="3542" t="s">
        <v>534</v>
      </c>
      <c r="Q15" s="1507" t="str">
        <f t="shared" si="6"/>
        <v>居住社区成熟度</v>
      </c>
      <c r="R15" s="1508" t="s">
        <v>11</v>
      </c>
      <c r="S15" s="1509">
        <f t="shared" si="0"/>
        <v>100</v>
      </c>
      <c r="T15" s="1508" t="s">
        <v>11</v>
      </c>
      <c r="U15" s="1509">
        <f t="shared" si="1"/>
        <v>103</v>
      </c>
      <c r="V15" s="1508" t="s">
        <v>11</v>
      </c>
      <c r="W15" s="1509">
        <f t="shared" si="2"/>
        <v>103</v>
      </c>
      <c r="X15" s="1502"/>
      <c r="Y15" s="3542" t="s">
        <v>534</v>
      </c>
      <c r="Z15" s="1510" t="str">
        <f t="shared" si="7"/>
        <v>居住社区成熟度</v>
      </c>
      <c r="AA15" s="1511">
        <f t="shared" si="3"/>
        <v>1</v>
      </c>
      <c r="AB15" s="1511">
        <f t="shared" si="4"/>
        <v>0.970873786407767</v>
      </c>
      <c r="AC15" s="1511">
        <f t="shared" si="5"/>
        <v>0.970873786407767</v>
      </c>
    </row>
    <row r="16" spans="1:29" ht="15">
      <c r="A16" s="526"/>
      <c r="B16" s="858"/>
      <c r="C16" s="570" t="s">
        <v>3169</v>
      </c>
      <c r="D16" s="549"/>
      <c r="E16" s="550" t="s">
        <v>3169</v>
      </c>
      <c r="F16" s="551"/>
      <c r="G16" s="552" t="s">
        <v>3149</v>
      </c>
      <c r="H16" s="553"/>
      <c r="I16" s="550" t="s">
        <v>3149</v>
      </c>
      <c r="J16" s="549"/>
      <c r="K16" s="859"/>
      <c r="L16" s="2024"/>
      <c r="M16" s="2016"/>
      <c r="N16" s="2016"/>
      <c r="O16" s="2023"/>
      <c r="P16" s="3543"/>
      <c r="Q16" s="1507"/>
      <c r="R16" s="1508"/>
      <c r="S16" s="1509"/>
      <c r="T16" s="1508"/>
      <c r="U16" s="1509"/>
      <c r="V16" s="1508"/>
      <c r="W16" s="1509"/>
      <c r="X16" s="1502"/>
      <c r="Y16" s="3543"/>
      <c r="Z16" s="1510"/>
      <c r="AA16" s="1511">
        <v>1</v>
      </c>
      <c r="AB16" s="1511">
        <v>1</v>
      </c>
      <c r="AC16" s="1511">
        <v>1</v>
      </c>
    </row>
    <row r="17" spans="1:29" ht="15">
      <c r="A17" s="526"/>
      <c r="B17" s="860" t="s">
        <v>296</v>
      </c>
      <c r="C17" s="861" t="str">
        <f>估价对象房地状况!C6</f>
        <v>较好</v>
      </c>
      <c r="D17" s="553">
        <v>100</v>
      </c>
      <c r="E17" s="556"/>
      <c r="F17" s="557">
        <f>SUMIF(78:78,E18,79:79)-SUMIF(78:78,C18,79:79)+100</f>
        <v>98</v>
      </c>
      <c r="G17" s="558"/>
      <c r="H17" s="559">
        <f>SUMIF(78:78,G18,79:79)-SUMIF(78:78,C18,79:79)+100</f>
        <v>100</v>
      </c>
      <c r="I17" s="556"/>
      <c r="J17" s="559">
        <f>SUMIF(78:78,I18,79:79)-SUMIF(78:78,C18,79:79)+100</f>
        <v>100</v>
      </c>
      <c r="K17" s="857">
        <v>2</v>
      </c>
      <c r="L17" s="2024"/>
      <c r="M17" s="2016"/>
      <c r="N17" s="2016"/>
      <c r="O17" s="2023"/>
      <c r="P17" s="3543"/>
      <c r="Q17" s="1507" t="str">
        <f>B17</f>
        <v>交通便捷度</v>
      </c>
      <c r="R17" s="1508" t="s">
        <v>11</v>
      </c>
      <c r="S17" s="1509">
        <f>F17</f>
        <v>98</v>
      </c>
      <c r="T17" s="1508" t="s">
        <v>11</v>
      </c>
      <c r="U17" s="1509">
        <f>H17</f>
        <v>100</v>
      </c>
      <c r="V17" s="1508" t="s">
        <v>11</v>
      </c>
      <c r="W17" s="1509">
        <f>J17</f>
        <v>100</v>
      </c>
      <c r="X17" s="1502"/>
      <c r="Y17" s="3543"/>
      <c r="Z17" s="1510" t="str">
        <f>Q17</f>
        <v>交通便捷度</v>
      </c>
      <c r="AA17" s="1511">
        <f t="shared" si="3"/>
        <v>1.0204081632653061</v>
      </c>
      <c r="AB17" s="1511">
        <f t="shared" si="4"/>
        <v>1</v>
      </c>
      <c r="AC17" s="1511">
        <f t="shared" si="5"/>
        <v>1</v>
      </c>
    </row>
    <row r="18" spans="1:29" ht="15">
      <c r="A18" s="526"/>
      <c r="B18" s="589"/>
      <c r="C18" s="862" t="s">
        <v>3149</v>
      </c>
      <c r="D18" s="553"/>
      <c r="E18" s="562" t="s">
        <v>3169</v>
      </c>
      <c r="F18" s="557"/>
      <c r="G18" s="563" t="s">
        <v>3149</v>
      </c>
      <c r="H18" s="549"/>
      <c r="I18" s="562" t="s">
        <v>3149</v>
      </c>
      <c r="J18" s="549"/>
      <c r="K18" s="859"/>
      <c r="L18" s="2024"/>
      <c r="M18" s="2016"/>
      <c r="N18" s="2016"/>
      <c r="O18" s="2023"/>
      <c r="P18" s="3543"/>
      <c r="Q18" s="1507"/>
      <c r="R18" s="1508"/>
      <c r="S18" s="1509"/>
      <c r="T18" s="1508"/>
      <c r="U18" s="1509"/>
      <c r="V18" s="1508"/>
      <c r="W18" s="1509"/>
      <c r="X18" s="1502"/>
      <c r="Y18" s="3543"/>
      <c r="Z18" s="1510"/>
      <c r="AA18" s="1511">
        <v>1</v>
      </c>
      <c r="AB18" s="1511">
        <v>1</v>
      </c>
      <c r="AC18" s="1511">
        <v>1</v>
      </c>
    </row>
    <row r="19" spans="1:29" ht="15">
      <c r="A19" s="526"/>
      <c r="B19" s="2444" t="s">
        <v>2523</v>
      </c>
      <c r="C19" s="861" t="str">
        <f>估价对象房地状况!C7</f>
        <v>一般</v>
      </c>
      <c r="D19" s="559">
        <v>100</v>
      </c>
      <c r="E19" s="564"/>
      <c r="F19" s="565">
        <f>SUMIF(80:80,E20,81:81)-SUMIF(80:80,C20,81:81)+100</f>
        <v>100</v>
      </c>
      <c r="G19" s="566"/>
      <c r="H19" s="553">
        <f>SUMIF(80:80,G20,81:81)-SUMIF(80:80,C20,81:81)+100</f>
        <v>102</v>
      </c>
      <c r="I19" s="564"/>
      <c r="J19" s="553">
        <f>SUMIF(80:80,I20,81:81)-SUMIF(80:80,C20,81:81)+100</f>
        <v>102</v>
      </c>
      <c r="K19" s="857">
        <v>2</v>
      </c>
      <c r="L19" s="2024"/>
      <c r="M19" s="2016"/>
      <c r="N19" s="2016"/>
      <c r="O19" s="2023"/>
      <c r="P19" s="3543"/>
      <c r="Q19" s="1507" t="str">
        <f>B19</f>
        <v>公共配套设施</v>
      </c>
      <c r="R19" s="1508" t="s">
        <v>11</v>
      </c>
      <c r="S19" s="1509">
        <f>F19</f>
        <v>100</v>
      </c>
      <c r="T19" s="1508" t="s">
        <v>11</v>
      </c>
      <c r="U19" s="1509">
        <f>H19</f>
        <v>102</v>
      </c>
      <c r="V19" s="1508" t="s">
        <v>11</v>
      </c>
      <c r="W19" s="1509">
        <f>J19</f>
        <v>102</v>
      </c>
      <c r="X19" s="1502"/>
      <c r="Y19" s="3543"/>
      <c r="Z19" s="1510" t="str">
        <f>Q19</f>
        <v>公共配套设施</v>
      </c>
      <c r="AA19" s="1511">
        <f t="shared" si="3"/>
        <v>1</v>
      </c>
      <c r="AB19" s="1511">
        <f t="shared" si="4"/>
        <v>0.98039215686274506</v>
      </c>
      <c r="AC19" s="1511">
        <f t="shared" si="5"/>
        <v>0.98039215686274506</v>
      </c>
    </row>
    <row r="20" spans="1:29" ht="15">
      <c r="A20" s="526"/>
      <c r="B20" s="589"/>
      <c r="C20" s="570" t="s">
        <v>3169</v>
      </c>
      <c r="D20" s="549"/>
      <c r="E20" s="550" t="s">
        <v>3169</v>
      </c>
      <c r="F20" s="551"/>
      <c r="G20" s="552" t="s">
        <v>3149</v>
      </c>
      <c r="H20" s="549"/>
      <c r="I20" s="550" t="s">
        <v>3149</v>
      </c>
      <c r="J20" s="549"/>
      <c r="K20" s="859"/>
      <c r="L20" s="2024"/>
      <c r="M20" s="2016"/>
      <c r="N20" s="2016"/>
      <c r="O20" s="2023"/>
      <c r="P20" s="3543"/>
      <c r="Q20" s="1507"/>
      <c r="R20" s="1508"/>
      <c r="S20" s="1509"/>
      <c r="T20" s="1508"/>
      <c r="U20" s="1509"/>
      <c r="V20" s="1508"/>
      <c r="W20" s="1509"/>
      <c r="X20" s="1502"/>
      <c r="Y20" s="3543"/>
      <c r="Z20" s="1510"/>
      <c r="AA20" s="1511">
        <v>1</v>
      </c>
      <c r="AB20" s="1511">
        <v>1</v>
      </c>
      <c r="AC20" s="1511">
        <v>1</v>
      </c>
    </row>
    <row r="21" spans="1:29" ht="15">
      <c r="A21" s="526"/>
      <c r="B21" s="2437" t="s">
        <v>2535</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v>1</v>
      </c>
      <c r="L21" s="2024"/>
      <c r="M21" s="2016"/>
      <c r="N21" s="2016"/>
      <c r="O21" s="2023"/>
      <c r="P21" s="3543"/>
      <c r="Q21" s="2429" t="str">
        <f>B21</f>
        <v>基础设施水平</v>
      </c>
      <c r="R21" s="1508" t="s">
        <v>11</v>
      </c>
      <c r="S21" s="1509">
        <f>F21</f>
        <v>100</v>
      </c>
      <c r="T21" s="1508" t="s">
        <v>11</v>
      </c>
      <c r="U21" s="1509">
        <f>H21</f>
        <v>100</v>
      </c>
      <c r="V21" s="1508" t="s">
        <v>11</v>
      </c>
      <c r="W21" s="1509">
        <f>J21</f>
        <v>100</v>
      </c>
      <c r="X21" s="2431"/>
      <c r="Y21" s="3543"/>
      <c r="Z21" s="2430" t="str">
        <f>Q21</f>
        <v>基础设施水平</v>
      </c>
      <c r="AA21" s="1511">
        <f t="shared" ref="AA21" si="8">D21/F21</f>
        <v>1</v>
      </c>
      <c r="AB21" s="1511">
        <f t="shared" ref="AB21" si="9">D21/H21</f>
        <v>1</v>
      </c>
      <c r="AC21" s="1511">
        <f t="shared" ref="AC21" si="10">D21/J21</f>
        <v>1</v>
      </c>
    </row>
    <row r="22" spans="1:29" ht="15">
      <c r="A22" s="526"/>
      <c r="B22" s="911"/>
      <c r="C22" s="862" t="s">
        <v>3144</v>
      </c>
      <c r="D22" s="549"/>
      <c r="E22" s="570" t="s">
        <v>3144</v>
      </c>
      <c r="F22" s="551"/>
      <c r="G22" s="570" t="s">
        <v>3144</v>
      </c>
      <c r="H22" s="549"/>
      <c r="I22" s="570" t="s">
        <v>3144</v>
      </c>
      <c r="J22" s="549"/>
      <c r="K22" s="2443"/>
      <c r="L22" s="2024"/>
      <c r="M22" s="2016"/>
      <c r="N22" s="2016"/>
      <c r="O22" s="2023"/>
      <c r="P22" s="3543"/>
      <c r="Q22" s="2429"/>
      <c r="R22" s="1508"/>
      <c r="S22" s="1509"/>
      <c r="T22" s="1508"/>
      <c r="U22" s="1509"/>
      <c r="V22" s="1508"/>
      <c r="W22" s="1509"/>
      <c r="X22" s="2431"/>
      <c r="Y22" s="3543"/>
      <c r="Z22" s="2430"/>
      <c r="AA22" s="1511">
        <v>1</v>
      </c>
      <c r="AB22" s="1511">
        <v>1</v>
      </c>
      <c r="AC22" s="1511">
        <v>1</v>
      </c>
    </row>
    <row r="23" spans="1:29" ht="15">
      <c r="A23" s="526"/>
      <c r="B23" s="860" t="s">
        <v>297</v>
      </c>
      <c r="C23" s="861" t="str">
        <f>估价对象房地状况!C9</f>
        <v>一般</v>
      </c>
      <c r="D23" s="553">
        <v>100</v>
      </c>
      <c r="E23" s="556"/>
      <c r="F23" s="557">
        <f>SUMIF(84:84,E24,85:85)-SUMIF(84:84,C24,85:85)+100</f>
        <v>100</v>
      </c>
      <c r="G23" s="558"/>
      <c r="H23" s="553">
        <f>SUMIF(84:84,G24,85:85)-SUMIF(84:84,C24,85:85)+100</f>
        <v>102</v>
      </c>
      <c r="I23" s="556"/>
      <c r="J23" s="553">
        <f>SUMIF(84:84,I24,85:85)-SUMIF(84:84,C24,85:85)+100</f>
        <v>102</v>
      </c>
      <c r="K23" s="857">
        <v>2</v>
      </c>
      <c r="L23" s="2024"/>
      <c r="M23" s="2016"/>
      <c r="N23" s="2016"/>
      <c r="O23" s="2023"/>
      <c r="P23" s="3543"/>
      <c r="Q23" s="1507" t="str">
        <f>B23</f>
        <v>自然及人文环境</v>
      </c>
      <c r="R23" s="1508" t="s">
        <v>11</v>
      </c>
      <c r="S23" s="1509">
        <f>F23</f>
        <v>100</v>
      </c>
      <c r="T23" s="1508" t="s">
        <v>11</v>
      </c>
      <c r="U23" s="1509">
        <f>H23</f>
        <v>102</v>
      </c>
      <c r="V23" s="1508" t="s">
        <v>11</v>
      </c>
      <c r="W23" s="1509">
        <f>J23</f>
        <v>102</v>
      </c>
      <c r="X23" s="1502"/>
      <c r="Y23" s="3543"/>
      <c r="Z23" s="1510" t="str">
        <f>Q23</f>
        <v>自然及人文环境</v>
      </c>
      <c r="AA23" s="1511">
        <f t="shared" si="3"/>
        <v>1</v>
      </c>
      <c r="AB23" s="1511">
        <f t="shared" si="4"/>
        <v>0.98039215686274506</v>
      </c>
      <c r="AC23" s="1511">
        <f t="shared" si="5"/>
        <v>0.98039215686274506</v>
      </c>
    </row>
    <row r="24" spans="1:29" ht="15">
      <c r="A24" s="526"/>
      <c r="B24" s="589"/>
      <c r="C24" s="570" t="s">
        <v>3169</v>
      </c>
      <c r="D24" s="549"/>
      <c r="E24" s="550" t="s">
        <v>3169</v>
      </c>
      <c r="F24" s="551"/>
      <c r="G24" s="552" t="s">
        <v>3149</v>
      </c>
      <c r="H24" s="549"/>
      <c r="I24" s="550" t="s">
        <v>3149</v>
      </c>
      <c r="J24" s="549"/>
      <c r="K24" s="859"/>
      <c r="L24" s="2024"/>
      <c r="M24" s="2016"/>
      <c r="N24" s="2016"/>
      <c r="O24" s="2023"/>
      <c r="P24" s="3543"/>
      <c r="Q24" s="1507"/>
      <c r="R24" s="1508"/>
      <c r="S24" s="1509"/>
      <c r="T24" s="1508"/>
      <c r="U24" s="1509"/>
      <c r="V24" s="1508"/>
      <c r="W24" s="1509"/>
      <c r="X24" s="1502"/>
      <c r="Y24" s="3543"/>
      <c r="Z24" s="1510"/>
      <c r="AA24" s="1511">
        <v>1</v>
      </c>
      <c r="AB24" s="1511">
        <v>1</v>
      </c>
      <c r="AC24" s="1511">
        <v>1</v>
      </c>
    </row>
    <row r="25" spans="1:29" ht="15" hidden="1">
      <c r="A25" s="526"/>
      <c r="B25" s="1809" t="s">
        <v>2242</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3"/>
      <c r="Q25" s="1507" t="str">
        <f t="shared" ref="Q25:Q46" si="11">B25</f>
        <v>楼层-1</v>
      </c>
      <c r="R25" s="1508" t="s">
        <v>11</v>
      </c>
      <c r="S25" s="1509">
        <f>F25</f>
        <v>100</v>
      </c>
      <c r="T25" s="1508" t="s">
        <v>11</v>
      </c>
      <c r="U25" s="1509">
        <f>H25</f>
        <v>100</v>
      </c>
      <c r="V25" s="1508" t="s">
        <v>11</v>
      </c>
      <c r="W25" s="1509">
        <f>J25</f>
        <v>100</v>
      </c>
      <c r="X25" s="1502"/>
      <c r="Y25" s="3543"/>
      <c r="Z25" s="1510" t="str">
        <f>Q25</f>
        <v>楼层-1</v>
      </c>
      <c r="AA25" s="1511">
        <f t="shared" si="3"/>
        <v>1</v>
      </c>
      <c r="AB25" s="1511">
        <f t="shared" si="4"/>
        <v>1</v>
      </c>
      <c r="AC25" s="1511">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3"/>
      <c r="Q26" s="1507" t="str">
        <f t="shared" si="11"/>
        <v>朝向</v>
      </c>
      <c r="R26" s="1508" t="s">
        <v>11</v>
      </c>
      <c r="S26" s="1509">
        <f>F26</f>
        <v>100</v>
      </c>
      <c r="T26" s="1508" t="s">
        <v>11</v>
      </c>
      <c r="U26" s="1509">
        <f>H26</f>
        <v>100</v>
      </c>
      <c r="V26" s="1508" t="s">
        <v>11</v>
      </c>
      <c r="W26" s="1509">
        <f>J26</f>
        <v>100</v>
      </c>
      <c r="X26" s="1502"/>
      <c r="Y26" s="3543"/>
      <c r="Z26" s="1510" t="str">
        <f>Q26</f>
        <v>朝向</v>
      </c>
      <c r="AA26" s="1511">
        <f t="shared" si="3"/>
        <v>1</v>
      </c>
      <c r="AB26" s="1511">
        <f t="shared" si="4"/>
        <v>1</v>
      </c>
      <c r="AC26" s="1511">
        <f t="shared" si="5"/>
        <v>1</v>
      </c>
    </row>
    <row r="27" spans="1:29" s="1203" customFormat="1" ht="15.75" thickBot="1">
      <c r="A27" s="530"/>
      <c r="B27" s="531" t="s">
        <v>718</v>
      </c>
      <c r="C27" s="3304" t="s">
        <v>3147</v>
      </c>
      <c r="D27" s="864">
        <v>100</v>
      </c>
      <c r="E27" s="3310" t="s">
        <v>3176</v>
      </c>
      <c r="F27" s="865">
        <f>SUMIF(90:90,E27,91:91)-SUMIF(90:90,C27,91:91)+100</f>
        <v>99</v>
      </c>
      <c r="G27" s="3310" t="s">
        <v>3176</v>
      </c>
      <c r="H27" s="864">
        <f>SUMIF(90:90,G27,91:91)-SUMIF(90:90,C27,91:91)+100</f>
        <v>99</v>
      </c>
      <c r="I27" s="3310" t="s">
        <v>3176</v>
      </c>
      <c r="J27" s="864">
        <f>SUMIF(90:90,I27,91:91)-SUMIF(90:90,C27,91:91)+100</f>
        <v>99</v>
      </c>
      <c r="K27" s="854"/>
      <c r="L27" s="2017"/>
      <c r="M27" s="2018"/>
      <c r="N27" s="2018"/>
      <c r="O27" s="2019"/>
      <c r="P27" s="3543"/>
      <c r="Q27" s="1134" t="str">
        <f t="shared" si="11"/>
        <v>道路级别</v>
      </c>
      <c r="R27" s="1503" t="s">
        <v>11</v>
      </c>
      <c r="S27" s="1504">
        <f>F27</f>
        <v>99</v>
      </c>
      <c r="T27" s="1503" t="s">
        <v>11</v>
      </c>
      <c r="U27" s="1504">
        <f>H27</f>
        <v>99</v>
      </c>
      <c r="V27" s="1503" t="s">
        <v>11</v>
      </c>
      <c r="W27" s="1504">
        <f>J27</f>
        <v>99</v>
      </c>
      <c r="X27" s="1505"/>
      <c r="Y27" s="3543"/>
      <c r="Z27" s="1133" t="str">
        <f>Q27</f>
        <v>道路级别</v>
      </c>
      <c r="AA27" s="1511">
        <f>D27/F27</f>
        <v>1.0101010101010102</v>
      </c>
      <c r="AB27" s="1511">
        <f>D27/H27</f>
        <v>1.0101010101010102</v>
      </c>
      <c r="AC27" s="1511">
        <f>D27/J27</f>
        <v>1.0101010101010102</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3"/>
      <c r="Q28" s="1507">
        <f t="shared" si="11"/>
        <v>111</v>
      </c>
      <c r="R28" s="1508" t="s">
        <v>11</v>
      </c>
      <c r="S28" s="1509">
        <f t="shared" ref="S28:S46" si="12">F28</f>
        <v>100</v>
      </c>
      <c r="T28" s="1508" t="s">
        <v>11</v>
      </c>
      <c r="U28" s="1509">
        <f t="shared" ref="U28:U46" si="13">H28</f>
        <v>100</v>
      </c>
      <c r="V28" s="1508" t="s">
        <v>11</v>
      </c>
      <c r="W28" s="1509">
        <f t="shared" ref="W28:W46" si="14">J28</f>
        <v>100</v>
      </c>
      <c r="X28" s="1502"/>
      <c r="Y28" s="3543"/>
      <c r="Z28" s="1510">
        <f t="shared" ref="Z28:Z46" si="15">Q28</f>
        <v>111</v>
      </c>
      <c r="AA28" s="1511">
        <f t="shared" si="3"/>
        <v>1</v>
      </c>
      <c r="AB28" s="1511">
        <f t="shared" si="4"/>
        <v>1</v>
      </c>
      <c r="AC28" s="1511">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3"/>
      <c r="Q29" s="1507">
        <f t="shared" si="11"/>
        <v>111</v>
      </c>
      <c r="R29" s="1508" t="s">
        <v>11</v>
      </c>
      <c r="S29" s="1509">
        <f t="shared" si="12"/>
        <v>100</v>
      </c>
      <c r="T29" s="1508" t="s">
        <v>11</v>
      </c>
      <c r="U29" s="1509">
        <f t="shared" si="13"/>
        <v>100</v>
      </c>
      <c r="V29" s="1508" t="s">
        <v>11</v>
      </c>
      <c r="W29" s="1509">
        <f t="shared" si="14"/>
        <v>100</v>
      </c>
      <c r="X29" s="1502"/>
      <c r="Y29" s="3543"/>
      <c r="Z29" s="1510">
        <f t="shared" si="15"/>
        <v>111</v>
      </c>
      <c r="AA29" s="1511">
        <f t="shared" si="3"/>
        <v>1</v>
      </c>
      <c r="AB29" s="1511">
        <f t="shared" si="4"/>
        <v>1</v>
      </c>
      <c r="AC29" s="1511">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3"/>
      <c r="Q30" s="1507">
        <f t="shared" si="11"/>
        <v>111</v>
      </c>
      <c r="R30" s="1508" t="s">
        <v>11</v>
      </c>
      <c r="S30" s="1509">
        <f t="shared" si="12"/>
        <v>100</v>
      </c>
      <c r="T30" s="1508" t="s">
        <v>11</v>
      </c>
      <c r="U30" s="1509">
        <f t="shared" si="13"/>
        <v>100</v>
      </c>
      <c r="V30" s="1508" t="s">
        <v>11</v>
      </c>
      <c r="W30" s="1509">
        <f t="shared" si="14"/>
        <v>100</v>
      </c>
      <c r="X30" s="1502"/>
      <c r="Y30" s="3543"/>
      <c r="Z30" s="1510">
        <f t="shared" si="15"/>
        <v>111</v>
      </c>
      <c r="AA30" s="1511">
        <f t="shared" si="3"/>
        <v>1</v>
      </c>
      <c r="AB30" s="1511">
        <f t="shared" si="4"/>
        <v>1</v>
      </c>
      <c r="AC30" s="1511">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3"/>
      <c r="Q31" s="1507">
        <f t="shared" si="11"/>
        <v>111</v>
      </c>
      <c r="R31" s="1508" t="s">
        <v>11</v>
      </c>
      <c r="S31" s="1509">
        <f t="shared" si="12"/>
        <v>100</v>
      </c>
      <c r="T31" s="1508" t="s">
        <v>11</v>
      </c>
      <c r="U31" s="1509">
        <f t="shared" si="13"/>
        <v>100</v>
      </c>
      <c r="V31" s="1508" t="s">
        <v>11</v>
      </c>
      <c r="W31" s="1509">
        <f t="shared" si="14"/>
        <v>100</v>
      </c>
      <c r="X31" s="1502"/>
      <c r="Y31" s="3543"/>
      <c r="Z31" s="1510">
        <f t="shared" si="15"/>
        <v>111</v>
      </c>
      <c r="AA31" s="1511">
        <f t="shared" si="3"/>
        <v>1</v>
      </c>
      <c r="AB31" s="1511">
        <f t="shared" si="4"/>
        <v>1</v>
      </c>
      <c r="AC31" s="1511">
        <f t="shared" si="5"/>
        <v>1</v>
      </c>
    </row>
    <row r="32" spans="1:29" ht="15">
      <c r="A32" s="2624" t="s">
        <v>2731</v>
      </c>
      <c r="B32" s="170" t="s">
        <v>719</v>
      </c>
      <c r="C32" s="867" t="s">
        <v>3183</v>
      </c>
      <c r="D32" s="591">
        <v>100</v>
      </c>
      <c r="E32" s="868" t="s">
        <v>3183</v>
      </c>
      <c r="F32" s="569">
        <f>SUMIF(100:100,E32,101:101)-SUMIF(100:100,C32,101:101)+100</f>
        <v>100</v>
      </c>
      <c r="G32" s="867" t="s">
        <v>3183</v>
      </c>
      <c r="H32" s="591">
        <f>SUMIF(100:100,G32,101:101)-SUMIF(100:100,C32,101:101)+100</f>
        <v>100</v>
      </c>
      <c r="I32" s="868" t="s">
        <v>3183</v>
      </c>
      <c r="J32" s="534">
        <f>SUMIF(100:100,I32,101:101)-SUMIF(100:100,C32,101:101)+100</f>
        <v>100</v>
      </c>
      <c r="K32" s="853">
        <v>3</v>
      </c>
      <c r="L32" s="2024"/>
      <c r="M32" s="2016"/>
      <c r="N32" s="2016"/>
      <c r="O32" s="2023"/>
      <c r="P32" s="3544" t="s">
        <v>544</v>
      </c>
      <c r="Q32" s="1507" t="str">
        <f t="shared" si="11"/>
        <v>建筑类型</v>
      </c>
      <c r="R32" s="1508" t="s">
        <v>11</v>
      </c>
      <c r="S32" s="1509">
        <f t="shared" si="12"/>
        <v>100</v>
      </c>
      <c r="T32" s="1508" t="s">
        <v>11</v>
      </c>
      <c r="U32" s="1509">
        <f t="shared" si="13"/>
        <v>100</v>
      </c>
      <c r="V32" s="1508" t="s">
        <v>11</v>
      </c>
      <c r="W32" s="1509">
        <f t="shared" si="14"/>
        <v>100</v>
      </c>
      <c r="X32" s="1502"/>
      <c r="Y32" s="3545" t="s">
        <v>544</v>
      </c>
      <c r="Z32" s="1510" t="str">
        <f t="shared" si="15"/>
        <v>建筑类型</v>
      </c>
      <c r="AA32" s="1511">
        <f t="shared" si="3"/>
        <v>1</v>
      </c>
      <c r="AB32" s="1511">
        <f t="shared" si="4"/>
        <v>1</v>
      </c>
      <c r="AC32" s="1511">
        <f t="shared" si="5"/>
        <v>1</v>
      </c>
    </row>
    <row r="33" spans="1:29" s="1293" customFormat="1" ht="15">
      <c r="A33" s="597"/>
      <c r="B33" s="521" t="s">
        <v>720</v>
      </c>
      <c r="C33" s="869">
        <f>'数据-汇总表'!F27</f>
        <v>37819.53</v>
      </c>
      <c r="D33" s="253">
        <v>100</v>
      </c>
      <c r="E33" s="528">
        <f>开发完成后!E2</f>
        <v>825292</v>
      </c>
      <c r="F33" s="852">
        <f>LOOKUP(E33,103:103,104:104)-LOOKUP(C33,103:103,104:104)+100</f>
        <v>106</v>
      </c>
      <c r="G33" s="527">
        <v>100000</v>
      </c>
      <c r="H33" s="253">
        <f>LOOKUP(G33,103:103,104:104)-LOOKUP(C33,103:103,104:104)+100</f>
        <v>102</v>
      </c>
      <c r="I33" s="528">
        <f>开发完成后!E5</f>
        <v>102348</v>
      </c>
      <c r="J33" s="253">
        <f>LOOKUP(I33,103:103,104:104)-LOOKUP(C33,103:103,104:104)+100</f>
        <v>102</v>
      </c>
      <c r="K33" s="854"/>
      <c r="L33" s="2022"/>
      <c r="M33" s="2052"/>
      <c r="N33" s="2052"/>
      <c r="O33" s="2025"/>
      <c r="P33" s="3545"/>
      <c r="Q33" s="1536" t="str">
        <f t="shared" si="11"/>
        <v>项目建筑规模</v>
      </c>
      <c r="R33" s="1512" t="s">
        <v>11</v>
      </c>
      <c r="S33" s="1513">
        <f t="shared" si="12"/>
        <v>106</v>
      </c>
      <c r="T33" s="1512" t="s">
        <v>11</v>
      </c>
      <c r="U33" s="1513">
        <f t="shared" si="13"/>
        <v>102</v>
      </c>
      <c r="V33" s="1512" t="s">
        <v>11</v>
      </c>
      <c r="W33" s="1513">
        <f t="shared" si="14"/>
        <v>102</v>
      </c>
      <c r="X33" s="1514"/>
      <c r="Y33" s="3545"/>
      <c r="Z33" s="1515" t="str">
        <f t="shared" si="15"/>
        <v>项目建筑规模</v>
      </c>
      <c r="AA33" s="1511">
        <f t="shared" si="3"/>
        <v>0.94339622641509435</v>
      </c>
      <c r="AB33" s="1511">
        <f t="shared" si="4"/>
        <v>0.98039215686274506</v>
      </c>
      <c r="AC33" s="1511">
        <f t="shared" si="5"/>
        <v>0.98039215686274506</v>
      </c>
    </row>
    <row r="34" spans="1:29" ht="15">
      <c r="A34" s="588"/>
      <c r="B34" s="521" t="s">
        <v>721</v>
      </c>
      <c r="C34" s="870" t="s">
        <v>3185</v>
      </c>
      <c r="D34" s="534">
        <v>100</v>
      </c>
      <c r="E34" s="870" t="s">
        <v>3185</v>
      </c>
      <c r="F34" s="569">
        <f>SUMIF(105:105,E34,106:106)-SUMIF(105:105,C34,106:106)+100</f>
        <v>100</v>
      </c>
      <c r="G34" s="870" t="s">
        <v>3185</v>
      </c>
      <c r="H34" s="534">
        <f>SUMIF(105:105,G34,106:106)-SUMIF(105:105,C34,106:106)+100</f>
        <v>100</v>
      </c>
      <c r="I34" s="870" t="s">
        <v>3185</v>
      </c>
      <c r="J34" s="534">
        <f>SUMIF(105:105,I34,106:106)-SUMIF(105:105,C34,106:106)+100</f>
        <v>100</v>
      </c>
      <c r="K34" s="853">
        <v>2</v>
      </c>
      <c r="L34" s="2024"/>
      <c r="M34" s="2016"/>
      <c r="N34" s="2016"/>
      <c r="O34" s="2023"/>
      <c r="P34" s="3545"/>
      <c r="Q34" s="1507" t="str">
        <f t="shared" si="11"/>
        <v>建筑结构</v>
      </c>
      <c r="R34" s="1508" t="s">
        <v>11</v>
      </c>
      <c r="S34" s="1509">
        <f t="shared" si="12"/>
        <v>100</v>
      </c>
      <c r="T34" s="1508" t="s">
        <v>11</v>
      </c>
      <c r="U34" s="1509">
        <f t="shared" si="13"/>
        <v>100</v>
      </c>
      <c r="V34" s="1508" t="s">
        <v>11</v>
      </c>
      <c r="W34" s="1509">
        <f t="shared" si="14"/>
        <v>100</v>
      </c>
      <c r="X34" s="1502"/>
      <c r="Y34" s="3545"/>
      <c r="Z34" s="1510" t="str">
        <f t="shared" si="15"/>
        <v>建筑结构</v>
      </c>
      <c r="AA34" s="1511">
        <f t="shared" si="3"/>
        <v>1</v>
      </c>
      <c r="AB34" s="1511">
        <f t="shared" si="4"/>
        <v>1</v>
      </c>
      <c r="AC34" s="1511">
        <f t="shared" si="5"/>
        <v>1</v>
      </c>
    </row>
    <row r="35" spans="1:29" ht="15">
      <c r="A35" s="588"/>
      <c r="B35" s="521" t="s">
        <v>722</v>
      </c>
      <c r="C35" s="593" t="s">
        <v>3192</v>
      </c>
      <c r="D35" s="534">
        <v>100</v>
      </c>
      <c r="E35" s="593" t="s">
        <v>3192</v>
      </c>
      <c r="F35" s="569">
        <f>SUMIF(107:107,E35,108:108)-SUMIF(107:107,C35,108:108)+100</f>
        <v>100</v>
      </c>
      <c r="G35" s="593" t="s">
        <v>3192</v>
      </c>
      <c r="H35" s="534">
        <f>SUMIF(107:107,G35,108:108)-SUMIF(107:107,C35,108:108)+100</f>
        <v>100</v>
      </c>
      <c r="I35" s="593" t="s">
        <v>3192</v>
      </c>
      <c r="J35" s="534">
        <f>SUMIF(107:107,I35,108:108)-SUMIF(107:107,C35,108:108)+100</f>
        <v>100</v>
      </c>
      <c r="K35" s="853">
        <v>2</v>
      </c>
      <c r="L35" s="2024"/>
      <c r="M35" s="2016"/>
      <c r="N35" s="2016"/>
      <c r="O35" s="2023"/>
      <c r="P35" s="3545"/>
      <c r="Q35" s="1507" t="str">
        <f t="shared" si="11"/>
        <v>建筑品质</v>
      </c>
      <c r="R35" s="1508" t="s">
        <v>11</v>
      </c>
      <c r="S35" s="1509">
        <f t="shared" si="12"/>
        <v>100</v>
      </c>
      <c r="T35" s="1508" t="s">
        <v>11</v>
      </c>
      <c r="U35" s="1509">
        <f t="shared" si="13"/>
        <v>100</v>
      </c>
      <c r="V35" s="1508" t="s">
        <v>11</v>
      </c>
      <c r="W35" s="1509">
        <f t="shared" si="14"/>
        <v>100</v>
      </c>
      <c r="X35" s="1502"/>
      <c r="Y35" s="3545"/>
      <c r="Z35" s="1510" t="str">
        <f t="shared" si="15"/>
        <v>建筑品质</v>
      </c>
      <c r="AA35" s="1511">
        <f t="shared" si="3"/>
        <v>1</v>
      </c>
      <c r="AB35" s="1511">
        <f t="shared" si="4"/>
        <v>1</v>
      </c>
      <c r="AC35" s="1511">
        <f t="shared" si="5"/>
        <v>1</v>
      </c>
    </row>
    <row r="36" spans="1:29" ht="15">
      <c r="A36" s="588"/>
      <c r="B36" s="521" t="s">
        <v>723</v>
      </c>
      <c r="C36" s="593" t="s">
        <v>3196</v>
      </c>
      <c r="D36" s="534">
        <v>100</v>
      </c>
      <c r="E36" s="593" t="s">
        <v>3196</v>
      </c>
      <c r="F36" s="569">
        <f>SUMIF(109:109,E36,110:110)-SUMIF(109:109,C36,110:110)+100</f>
        <v>100</v>
      </c>
      <c r="G36" s="593" t="s">
        <v>3196</v>
      </c>
      <c r="H36" s="534">
        <f>SUMIF(109:109,G36,110:110)-SUMIF(109:109,C36,110:110)+100</f>
        <v>100</v>
      </c>
      <c r="I36" s="593" t="s">
        <v>3196</v>
      </c>
      <c r="J36" s="534">
        <f>SUMIF(109:109,I36,110:110)-SUMIF(109:109,C36,110:110)+100</f>
        <v>100</v>
      </c>
      <c r="K36" s="853">
        <v>2</v>
      </c>
      <c r="L36" s="2024"/>
      <c r="M36" s="2016"/>
      <c r="N36" s="2016"/>
      <c r="O36" s="2023"/>
      <c r="P36" s="3545"/>
      <c r="Q36" s="1507" t="str">
        <f t="shared" si="11"/>
        <v>公共部分装修</v>
      </c>
      <c r="R36" s="1508" t="s">
        <v>11</v>
      </c>
      <c r="S36" s="1509">
        <f t="shared" si="12"/>
        <v>100</v>
      </c>
      <c r="T36" s="1508" t="s">
        <v>11</v>
      </c>
      <c r="U36" s="1509">
        <f t="shared" si="13"/>
        <v>100</v>
      </c>
      <c r="V36" s="1508" t="s">
        <v>11</v>
      </c>
      <c r="W36" s="1509">
        <f t="shared" si="14"/>
        <v>100</v>
      </c>
      <c r="X36" s="1502"/>
      <c r="Y36" s="3545"/>
      <c r="Z36" s="1510" t="str">
        <f t="shared" si="15"/>
        <v>公共部分装修</v>
      </c>
      <c r="AA36" s="1511">
        <f t="shared" si="3"/>
        <v>1</v>
      </c>
      <c r="AB36" s="1511">
        <f t="shared" si="4"/>
        <v>1</v>
      </c>
      <c r="AC36" s="1511">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v>2</v>
      </c>
      <c r="L37" s="2017"/>
      <c r="M37" s="2018"/>
      <c r="N37" s="2018"/>
      <c r="O37" s="2019"/>
      <c r="P37" s="3545"/>
      <c r="Q37" s="1134" t="str">
        <f t="shared" si="11"/>
        <v>成新度</v>
      </c>
      <c r="R37" s="1503" t="s">
        <v>11</v>
      </c>
      <c r="S37" s="1504">
        <f t="shared" si="12"/>
        <v>100</v>
      </c>
      <c r="T37" s="1503" t="s">
        <v>11</v>
      </c>
      <c r="U37" s="1504">
        <f t="shared" si="13"/>
        <v>100</v>
      </c>
      <c r="V37" s="1503" t="s">
        <v>11</v>
      </c>
      <c r="W37" s="1504">
        <f t="shared" si="14"/>
        <v>100</v>
      </c>
      <c r="X37" s="1505"/>
      <c r="Y37" s="3545"/>
      <c r="Z37" s="1133" t="str">
        <f t="shared" si="15"/>
        <v>成新度</v>
      </c>
      <c r="AA37" s="1506">
        <f t="shared" si="3"/>
        <v>1</v>
      </c>
      <c r="AB37" s="1506">
        <f t="shared" si="4"/>
        <v>1</v>
      </c>
      <c r="AC37" s="1506">
        <f t="shared" si="5"/>
        <v>1</v>
      </c>
    </row>
    <row r="38" spans="1:29" ht="15">
      <c r="A38" s="588"/>
      <c r="B38" s="521" t="s">
        <v>725</v>
      </c>
      <c r="C38" s="593" t="s">
        <v>3188</v>
      </c>
      <c r="D38" s="534">
        <v>100</v>
      </c>
      <c r="E38" s="593" t="s">
        <v>3188</v>
      </c>
      <c r="F38" s="569">
        <f>SUMIF(114:114,E38,115:115)-SUMIF(114:114,C38,115:115)+100</f>
        <v>100</v>
      </c>
      <c r="G38" s="593" t="s">
        <v>3188</v>
      </c>
      <c r="H38" s="534">
        <f>SUMIF(114:114,G38,115:115)-SUMIF(114:114,C38,115:115)+100</f>
        <v>100</v>
      </c>
      <c r="I38" s="593" t="s">
        <v>3188</v>
      </c>
      <c r="J38" s="534">
        <f>SUMIF(114:114,I38,115:115)-SUMIF(114:114,C38,115:115)+100</f>
        <v>100</v>
      </c>
      <c r="K38" s="853">
        <v>2</v>
      </c>
      <c r="L38" s="2024"/>
      <c r="M38" s="2016"/>
      <c r="N38" s="2016"/>
      <c r="O38" s="2023"/>
      <c r="P38" s="3545" t="s">
        <v>544</v>
      </c>
      <c r="Q38" s="1507" t="str">
        <f t="shared" si="11"/>
        <v>物业管理</v>
      </c>
      <c r="R38" s="1508" t="s">
        <v>11</v>
      </c>
      <c r="S38" s="1509">
        <f t="shared" si="12"/>
        <v>100</v>
      </c>
      <c r="T38" s="1508" t="s">
        <v>11</v>
      </c>
      <c r="U38" s="1509">
        <f t="shared" si="13"/>
        <v>100</v>
      </c>
      <c r="V38" s="1508" t="s">
        <v>11</v>
      </c>
      <c r="W38" s="1509">
        <f t="shared" si="14"/>
        <v>100</v>
      </c>
      <c r="X38" s="1502"/>
      <c r="Y38" s="3545" t="s">
        <v>544</v>
      </c>
      <c r="Z38" s="1510" t="str">
        <f t="shared" si="15"/>
        <v>物业管理</v>
      </c>
      <c r="AA38" s="1511">
        <f t="shared" si="3"/>
        <v>1</v>
      </c>
      <c r="AB38" s="1511">
        <f t="shared" si="4"/>
        <v>1</v>
      </c>
      <c r="AC38" s="1511">
        <f t="shared" si="5"/>
        <v>1</v>
      </c>
    </row>
    <row r="39" spans="1:29" ht="15">
      <c r="A39" s="588"/>
      <c r="B39" s="1809" t="s">
        <v>2541</v>
      </c>
      <c r="C39" s="593" t="s">
        <v>3144</v>
      </c>
      <c r="D39" s="534">
        <v>100</v>
      </c>
      <c r="E39" s="593" t="s">
        <v>3144</v>
      </c>
      <c r="F39" s="569">
        <f>SUMIF(116:116,E39,117:117)-SUMIF(116:116,C39,117:117)+100</f>
        <v>100</v>
      </c>
      <c r="G39" s="593" t="s">
        <v>3144</v>
      </c>
      <c r="H39" s="534">
        <f>SUMIF(116:116,G39,117:117)-SUMIF(116:116,C39,117:117)+100</f>
        <v>100</v>
      </c>
      <c r="I39" s="593" t="s">
        <v>3144</v>
      </c>
      <c r="J39" s="534">
        <f>SUMIF(116:116,I39,117:117)-SUMIF(116:116,C39,117:117)+100</f>
        <v>100</v>
      </c>
      <c r="K39" s="853">
        <v>2</v>
      </c>
      <c r="L39" s="2024"/>
      <c r="M39" s="2016"/>
      <c r="N39" s="2016"/>
      <c r="O39" s="2023"/>
      <c r="P39" s="3545"/>
      <c r="Q39" s="1507" t="str">
        <f t="shared" si="11"/>
        <v>市政基础设施</v>
      </c>
      <c r="R39" s="1508" t="s">
        <v>11</v>
      </c>
      <c r="S39" s="1509">
        <f t="shared" si="12"/>
        <v>100</v>
      </c>
      <c r="T39" s="1508" t="s">
        <v>11</v>
      </c>
      <c r="U39" s="1509">
        <f t="shared" si="13"/>
        <v>100</v>
      </c>
      <c r="V39" s="1508" t="s">
        <v>11</v>
      </c>
      <c r="W39" s="1509">
        <f t="shared" si="14"/>
        <v>100</v>
      </c>
      <c r="X39" s="1502"/>
      <c r="Y39" s="3545"/>
      <c r="Z39" s="1510" t="str">
        <f t="shared" si="15"/>
        <v>市政基础设施</v>
      </c>
      <c r="AA39" s="1511">
        <f t="shared" si="3"/>
        <v>1</v>
      </c>
      <c r="AB39" s="1511">
        <f t="shared" si="4"/>
        <v>1</v>
      </c>
      <c r="AC39" s="1511">
        <f t="shared" si="5"/>
        <v>1</v>
      </c>
    </row>
    <row r="40" spans="1:29" ht="15" hidden="1">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4"/>
      <c r="M40" s="2016"/>
      <c r="N40" s="2016"/>
      <c r="O40" s="2023"/>
      <c r="P40" s="3545"/>
      <c r="Q40" s="1507" t="str">
        <f t="shared" si="11"/>
        <v>房型</v>
      </c>
      <c r="R40" s="1508" t="s">
        <v>11</v>
      </c>
      <c r="S40" s="1509">
        <f t="shared" si="12"/>
        <v>100</v>
      </c>
      <c r="T40" s="1508" t="s">
        <v>11</v>
      </c>
      <c r="U40" s="1509">
        <f t="shared" si="13"/>
        <v>100</v>
      </c>
      <c r="V40" s="1508" t="s">
        <v>11</v>
      </c>
      <c r="W40" s="1509">
        <f t="shared" si="14"/>
        <v>100</v>
      </c>
      <c r="X40" s="1502"/>
      <c r="Y40" s="3545"/>
      <c r="Z40" s="1510" t="str">
        <f t="shared" si="15"/>
        <v>房型</v>
      </c>
      <c r="AA40" s="1511">
        <f t="shared" si="3"/>
        <v>1</v>
      </c>
      <c r="AB40" s="1511">
        <f t="shared" si="4"/>
        <v>1</v>
      </c>
      <c r="AC40" s="1511">
        <f t="shared" si="5"/>
        <v>1</v>
      </c>
    </row>
    <row r="41" spans="1:29" s="1293" customFormat="1" ht="28.5" hidden="1">
      <c r="A41" s="597"/>
      <c r="B41" s="521" t="s">
        <v>727</v>
      </c>
      <c r="C41" s="869"/>
      <c r="D41" s="253">
        <v>100</v>
      </c>
      <c r="E41" s="869"/>
      <c r="F41" s="852">
        <f>SUMIF(120:120,E41,121:121)-SUMIF(120:120,C41,121:121)+100</f>
        <v>100</v>
      </c>
      <c r="G41" s="869"/>
      <c r="H41" s="253">
        <f>SUMIF(120:120,G41,121:121)-SUMIF(120:120,C41,121:121)+100</f>
        <v>100</v>
      </c>
      <c r="I41" s="869"/>
      <c r="J41" s="534">
        <f>SUMIF(120:120,I41,121:121)-SUMIF(120:120,C41,121:121)+100</f>
        <v>100</v>
      </c>
      <c r="K41" s="854"/>
      <c r="L41" s="2022"/>
      <c r="M41" s="2052"/>
      <c r="N41" s="2052"/>
      <c r="O41" s="2025"/>
      <c r="P41" s="3545"/>
      <c r="Q41" s="1536" t="str">
        <f t="shared" si="11"/>
        <v>单套/主力户型建筑面积</v>
      </c>
      <c r="R41" s="1512" t="s">
        <v>11</v>
      </c>
      <c r="S41" s="1513">
        <f t="shared" si="12"/>
        <v>100</v>
      </c>
      <c r="T41" s="1512" t="s">
        <v>11</v>
      </c>
      <c r="U41" s="1513">
        <f t="shared" si="13"/>
        <v>100</v>
      </c>
      <c r="V41" s="1512" t="s">
        <v>11</v>
      </c>
      <c r="W41" s="1513">
        <f t="shared" si="14"/>
        <v>100</v>
      </c>
      <c r="X41" s="1514"/>
      <c r="Y41" s="3545"/>
      <c r="Z41" s="1515" t="str">
        <f t="shared" si="15"/>
        <v>单套/主力户型建筑面积</v>
      </c>
      <c r="AA41" s="1511">
        <f t="shared" si="3"/>
        <v>1</v>
      </c>
      <c r="AB41" s="1511">
        <f t="shared" si="4"/>
        <v>1</v>
      </c>
      <c r="AC41" s="1511">
        <f t="shared" si="5"/>
        <v>1</v>
      </c>
    </row>
    <row r="42" spans="1:29" ht="15.75" thickBot="1">
      <c r="A42" s="588"/>
      <c r="B42" s="521" t="s">
        <v>728</v>
      </c>
      <c r="C42" s="593" t="s">
        <v>3198</v>
      </c>
      <c r="D42" s="534">
        <v>100</v>
      </c>
      <c r="E42" s="593" t="s">
        <v>3198</v>
      </c>
      <c r="F42" s="569">
        <f>SUMIF(122:122,E42,123:123)-SUMIF(122:122,C42,123:123)+100</f>
        <v>100</v>
      </c>
      <c r="G42" s="593" t="s">
        <v>3198</v>
      </c>
      <c r="H42" s="534">
        <f>SUMIF(122:122,G42,123:123)-SUMIF(122:122,C42,123:123)+100</f>
        <v>100</v>
      </c>
      <c r="I42" s="593" t="s">
        <v>3198</v>
      </c>
      <c r="J42" s="534">
        <f>SUMIF(122:122,I42,123:123)-SUMIF(122:122,C42,123:123)+100</f>
        <v>100</v>
      </c>
      <c r="K42" s="853">
        <v>3</v>
      </c>
      <c r="L42" s="2024"/>
      <c r="M42" s="2016"/>
      <c r="N42" s="2016"/>
      <c r="O42" s="2023"/>
      <c r="P42" s="3545"/>
      <c r="Q42" s="1507" t="str">
        <f t="shared" si="11"/>
        <v>内部装修</v>
      </c>
      <c r="R42" s="1508" t="s">
        <v>11</v>
      </c>
      <c r="S42" s="1509">
        <f t="shared" si="12"/>
        <v>100</v>
      </c>
      <c r="T42" s="1508" t="s">
        <v>11</v>
      </c>
      <c r="U42" s="1509">
        <f t="shared" si="13"/>
        <v>100</v>
      </c>
      <c r="V42" s="1508" t="s">
        <v>11</v>
      </c>
      <c r="W42" s="1509">
        <f t="shared" si="14"/>
        <v>100</v>
      </c>
      <c r="X42" s="1502"/>
      <c r="Y42" s="3545"/>
      <c r="Z42" s="1510" t="str">
        <f t="shared" si="15"/>
        <v>内部装修</v>
      </c>
      <c r="AA42" s="1511">
        <f t="shared" si="3"/>
        <v>1</v>
      </c>
      <c r="AB42" s="1511">
        <f t="shared" si="4"/>
        <v>1</v>
      </c>
      <c r="AC42" s="1511">
        <f t="shared" si="5"/>
        <v>1</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5"/>
      <c r="Q43" s="1507" t="str">
        <f t="shared" si="11"/>
        <v>内部装修维护情况</v>
      </c>
      <c r="R43" s="1508" t="s">
        <v>11</v>
      </c>
      <c r="S43" s="1509">
        <f t="shared" si="12"/>
        <v>100</v>
      </c>
      <c r="T43" s="1508" t="s">
        <v>11</v>
      </c>
      <c r="U43" s="1509">
        <f t="shared" si="13"/>
        <v>100</v>
      </c>
      <c r="V43" s="1508" t="s">
        <v>11</v>
      </c>
      <c r="W43" s="1509">
        <f t="shared" si="14"/>
        <v>100</v>
      </c>
      <c r="X43" s="1502"/>
      <c r="Y43" s="3545"/>
      <c r="Z43" s="1510" t="str">
        <f t="shared" si="15"/>
        <v>内部装修维护情况</v>
      </c>
      <c r="AA43" s="1511">
        <f t="shared" si="3"/>
        <v>1</v>
      </c>
      <c r="AB43" s="1511">
        <f t="shared" si="4"/>
        <v>1</v>
      </c>
      <c r="AC43" s="1511">
        <f t="shared" si="5"/>
        <v>1</v>
      </c>
    </row>
    <row r="44" spans="1:29" s="1203" customFormat="1" ht="15" hidden="1">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45"/>
      <c r="Q44" s="1134">
        <f t="shared" si="11"/>
        <v>111</v>
      </c>
      <c r="R44" s="1503" t="s">
        <v>11</v>
      </c>
      <c r="S44" s="1504">
        <f t="shared" si="12"/>
        <v>100</v>
      </c>
      <c r="T44" s="1503" t="s">
        <v>11</v>
      </c>
      <c r="U44" s="1504">
        <f t="shared" si="13"/>
        <v>100</v>
      </c>
      <c r="V44" s="1503" t="s">
        <v>11</v>
      </c>
      <c r="W44" s="1504">
        <f t="shared" si="14"/>
        <v>100</v>
      </c>
      <c r="X44" s="1505"/>
      <c r="Y44" s="3545"/>
      <c r="Z44" s="1133">
        <f t="shared" si="15"/>
        <v>111</v>
      </c>
      <c r="AA44" s="1506">
        <f t="shared" si="3"/>
        <v>1</v>
      </c>
      <c r="AB44" s="1506">
        <f t="shared" si="4"/>
        <v>1</v>
      </c>
      <c r="AC44" s="1506">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5"/>
      <c r="Q45" s="1507">
        <f t="shared" si="11"/>
        <v>111</v>
      </c>
      <c r="R45" s="1508" t="s">
        <v>11</v>
      </c>
      <c r="S45" s="1509">
        <f t="shared" si="12"/>
        <v>100</v>
      </c>
      <c r="T45" s="1508" t="s">
        <v>11</v>
      </c>
      <c r="U45" s="1509">
        <f t="shared" si="13"/>
        <v>100</v>
      </c>
      <c r="V45" s="1508" t="s">
        <v>11</v>
      </c>
      <c r="W45" s="1509">
        <f t="shared" si="14"/>
        <v>100</v>
      </c>
      <c r="X45" s="1502"/>
      <c r="Y45" s="3545"/>
      <c r="Z45" s="1510">
        <f t="shared" si="15"/>
        <v>111</v>
      </c>
      <c r="AA45" s="1511">
        <f t="shared" si="3"/>
        <v>1</v>
      </c>
      <c r="AB45" s="1511">
        <f t="shared" si="4"/>
        <v>1</v>
      </c>
      <c r="AC45" s="1511">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27"/>
      <c r="Q46" s="1507">
        <f t="shared" si="11"/>
        <v>111</v>
      </c>
      <c r="R46" s="1508" t="s">
        <v>10</v>
      </c>
      <c r="S46" s="1509">
        <f t="shared" si="12"/>
        <v>100</v>
      </c>
      <c r="T46" s="1508" t="s">
        <v>10</v>
      </c>
      <c r="U46" s="1509">
        <f t="shared" si="13"/>
        <v>100</v>
      </c>
      <c r="V46" s="1508" t="s">
        <v>10</v>
      </c>
      <c r="W46" s="1509">
        <f t="shared" si="14"/>
        <v>100</v>
      </c>
      <c r="X46" s="1502"/>
      <c r="Y46" s="3627"/>
      <c r="Z46" s="1510">
        <f t="shared" si="15"/>
        <v>111</v>
      </c>
      <c r="AA46" s="1511">
        <f t="shared" si="3"/>
        <v>1</v>
      </c>
      <c r="AB46" s="1511">
        <f t="shared" si="4"/>
        <v>1</v>
      </c>
      <c r="AC46" s="1511">
        <f t="shared" si="5"/>
        <v>1</v>
      </c>
    </row>
    <row r="47" spans="1:29" ht="15">
      <c r="A47" s="601" t="s">
        <v>730</v>
      </c>
      <c r="B47" s="876"/>
      <c r="C47" s="2470" t="s">
        <v>9</v>
      </c>
      <c r="D47" s="2471"/>
      <c r="E47" s="2472">
        <v>5600</v>
      </c>
      <c r="F47" s="2473"/>
      <c r="G47" s="2474">
        <v>6100</v>
      </c>
      <c r="H47" s="2475"/>
      <c r="I47" s="2472">
        <v>6400</v>
      </c>
      <c r="J47" s="2475"/>
      <c r="K47" s="1537"/>
      <c r="L47" s="2026"/>
      <c r="M47" s="2027"/>
      <c r="N47" s="2016"/>
      <c r="O47" s="2027"/>
      <c r="P47" s="3506" t="str">
        <f>A47</f>
        <v>成交单价（元/平方米）</v>
      </c>
      <c r="Q47" s="3506"/>
      <c r="R47" s="3626">
        <f>E47</f>
        <v>5600</v>
      </c>
      <c r="S47" s="3626"/>
      <c r="T47" s="3626">
        <f>G47</f>
        <v>6100</v>
      </c>
      <c r="U47" s="3626"/>
      <c r="V47" s="3626">
        <f>I47</f>
        <v>6400</v>
      </c>
      <c r="W47" s="3626"/>
      <c r="X47" s="1497"/>
      <c r="Y47" s="1516"/>
      <c r="Z47" s="1497"/>
      <c r="AA47" s="1497"/>
      <c r="AB47" s="1497"/>
      <c r="AC47" s="1497"/>
    </row>
    <row r="48" spans="1:29" ht="15.75" thickBot="1">
      <c r="A48" s="609" t="s">
        <v>2736</v>
      </c>
      <c r="B48" s="877"/>
      <c r="C48" s="2476">
        <f>R49</f>
        <v>5664</v>
      </c>
      <c r="D48" s="3014" t="s">
        <v>2954</v>
      </c>
      <c r="E48" s="2477">
        <f>R48</f>
        <v>5556</v>
      </c>
      <c r="F48" s="3015"/>
      <c r="G48" s="2476">
        <f>T48</f>
        <v>5637</v>
      </c>
      <c r="H48" s="3015"/>
      <c r="I48" s="2477">
        <f>V48</f>
        <v>5798</v>
      </c>
      <c r="J48" s="3015"/>
      <c r="K48" s="3023">
        <f>F48+H48+J48</f>
        <v>0</v>
      </c>
      <c r="L48" s="2026"/>
      <c r="M48" s="2027"/>
      <c r="N48" s="2027"/>
      <c r="O48" s="2027"/>
      <c r="P48" s="3506" t="str">
        <f>A48</f>
        <v>比较价格（元/平方米）</v>
      </c>
      <c r="Q48" s="3506"/>
      <c r="R48" s="3626">
        <f>IF(F1="售价",ROUND(PRODUCT(R47,AA7:AA46),0),ROUND(PRODUCT(R47,AA7:AA46),1))</f>
        <v>5556</v>
      </c>
      <c r="S48" s="3626"/>
      <c r="T48" s="3626">
        <f>IF(F1="售价",ROUND(PRODUCT(T47,AB7:AB46),0),ROUND(PRODUCT(T47,AB7:AB46),1))</f>
        <v>5637</v>
      </c>
      <c r="U48" s="3626"/>
      <c r="V48" s="3626">
        <f>IF(F1="售价",ROUND(PRODUCT(V47,AC7:AC46),0),ROUND(PRODUCT(V47,AC7:AC46),1))</f>
        <v>5798</v>
      </c>
      <c r="W48" s="3626"/>
      <c r="X48" s="1497"/>
      <c r="Y48" s="1497"/>
      <c r="Z48" s="1497"/>
      <c r="AA48" s="1497"/>
      <c r="AB48" s="1497"/>
      <c r="AC48" s="1497"/>
    </row>
    <row r="49" spans="1:29" ht="15.75" thickBot="1">
      <c r="A49" s="613" t="s">
        <v>2886</v>
      </c>
      <c r="B49" s="614"/>
      <c r="C49" s="2478">
        <f>R49</f>
        <v>5664</v>
      </c>
      <c r="D49" s="2478"/>
      <c r="E49" s="2478"/>
      <c r="F49" s="2478"/>
      <c r="G49" s="2478"/>
      <c r="H49" s="2478"/>
      <c r="I49" s="2478"/>
      <c r="J49" s="2478"/>
      <c r="K49" s="1538"/>
      <c r="L49" s="2026"/>
      <c r="M49" s="2027"/>
      <c r="N49" s="2027"/>
      <c r="O49" s="2027"/>
      <c r="P49" s="3503" t="str">
        <f>A49</f>
        <v>估价对象XX用房的比较价格（楼面单价，元/平方米）</v>
      </c>
      <c r="Q49" s="3504"/>
      <c r="R49" s="3625">
        <f>IF(F1="售价",ROUND(IF(D48="简单平均",AVERAGE(R48:V48),R48*F48+T48*H48+V48*J48),0),ROUND(IF(D48="简单平均",AVERAGE(R48:V48),R48*F48+T48*H48+V48*J48),1))</f>
        <v>5664</v>
      </c>
      <c r="S49" s="3625"/>
      <c r="T49" s="3625"/>
      <c r="U49" s="3625"/>
      <c r="V49" s="3625"/>
      <c r="W49" s="3625"/>
      <c r="X49" s="1497"/>
      <c r="Y49" s="1497"/>
      <c r="Z49" s="1497"/>
      <c r="AA49" s="1497"/>
      <c r="AB49" s="1497"/>
      <c r="AC49" s="1497"/>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f>IF(E47&lt;E48,E48/E47-1,E47/E48-1)</f>
        <v>7.9193664506840289E-3</v>
      </c>
      <c r="F52" s="619" t="str">
        <f>IF(OR(E52&gt;=0.3,E52&lt;=-0.3),"超过30%","")</f>
        <v/>
      </c>
      <c r="G52" s="618">
        <f>IF(G47&lt;G48,G48/G47-1,G47/G48-1)</f>
        <v>8.2135887883626024E-2</v>
      </c>
      <c r="H52" s="619" t="str">
        <f>IF(OR(G52&gt;=0.3,G52&lt;=-0.3),"超过30%","")</f>
        <v/>
      </c>
      <c r="I52" s="618">
        <f>IF(I47&lt;I48,I48/I47-1,I47/I48-1)</f>
        <v>0.10382890651948951</v>
      </c>
      <c r="J52" s="619" t="str">
        <f>IF(OR(I52&gt;=0.3,I52&lt;=-0.3),"超过30%","")</f>
        <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f>IF(E48&lt;G48,G48/E48-1,E48/G48-1)</f>
        <v>1.4578833693304594E-2</v>
      </c>
      <c r="F53" s="619" t="str">
        <f>IF(OR(E53&gt;=0.2,E53&lt;=-0.2),"超过20%","")</f>
        <v/>
      </c>
      <c r="G53" s="618">
        <f>IF(G48&lt;I48,I48/G48-1,G48/I48-1)</f>
        <v>2.856129146709252E-2</v>
      </c>
      <c r="H53" s="619" t="str">
        <f>IF(OR(G53&gt;=0.2,G53&lt;=-0.2),"超过20%","")</f>
        <v/>
      </c>
      <c r="I53" s="618">
        <f>IF(I48&lt;E48,E48/I48-1,I48/E48-1)</f>
        <v>4.3556515478761604E-2</v>
      </c>
      <c r="J53" s="619" t="str">
        <f>IF(OR(I53&gt;=0.2,I53&lt;=-0.2),"超过20%","")</f>
        <v/>
      </c>
      <c r="K53" s="3214"/>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2"/>
      <c r="B54" s="3212"/>
      <c r="C54" s="616" t="s">
        <v>553</v>
      </c>
      <c r="D54" s="620"/>
      <c r="E54" s="618">
        <f>IF(E47&lt;G47,G47/E47-1,E47/G47-1)</f>
        <v>8.9285714285714191E-2</v>
      </c>
      <c r="F54" s="619" t="str">
        <f>IF(OR(E54&gt;=0.3,E54&lt;=-0.3),"超过30%","")</f>
        <v/>
      </c>
      <c r="G54" s="618">
        <f>IF(G47&lt;I47,I47/G47-1,G47/I47-1)</f>
        <v>4.9180327868852514E-2</v>
      </c>
      <c r="H54" s="619" t="str">
        <f>IF(OR(G54&gt;=0.3,G54&lt;=-0.3),"超过30%","")</f>
        <v/>
      </c>
      <c r="I54" s="618">
        <f>IF(I47&lt;E47,E47/I47-1,I47/E47-1)</f>
        <v>0.14285714285714279</v>
      </c>
      <c r="J54" s="619" t="str">
        <f>IF(OR(I54&gt;=0.3,I54&lt;=-0.3),"超过30%","")</f>
        <v/>
      </c>
      <c r="K54" s="3215"/>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v>100</v>
      </c>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3" customFormat="1" ht="15.75" hidden="1"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hidden="1"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hidden="1"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hidden="1"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hidden="1"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hidden="1"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ht="15" thickTop="1">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97</v>
      </c>
      <c r="E77" s="671">
        <f>D77-$K15</f>
        <v>94</v>
      </c>
      <c r="F77" s="671">
        <f>E77-$K15</f>
        <v>91</v>
      </c>
      <c r="G77" s="671">
        <f>F77-$K15</f>
        <v>88</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2534</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2535</v>
      </c>
      <c r="C82" s="2442" t="s">
        <v>2536</v>
      </c>
      <c r="D82" s="2442" t="s">
        <v>2537</v>
      </c>
      <c r="E82" s="2442" t="s">
        <v>2538</v>
      </c>
      <c r="F82" s="2442" t="s">
        <v>2539</v>
      </c>
      <c r="G82" s="2442" t="s">
        <v>2540</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99</v>
      </c>
      <c r="E83" s="671">
        <f>D83-$K21</f>
        <v>98</v>
      </c>
      <c r="F83" s="671">
        <f>E83-$K21</f>
        <v>97</v>
      </c>
      <c r="G83" s="671">
        <f>F83-$K21</f>
        <v>96</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hidden="1" thickTop="1">
      <c r="A86" s="701"/>
      <c r="B86" s="1810" t="s">
        <v>2243</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hidden="1"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hidden="1"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hidden="1"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3300" t="s">
        <v>3147</v>
      </c>
      <c r="D90" s="3300" t="s">
        <v>3176</v>
      </c>
      <c r="E90" s="3300" t="s">
        <v>3177</v>
      </c>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v>100</v>
      </c>
      <c r="D91" s="684">
        <v>99</v>
      </c>
      <c r="E91" s="684">
        <v>98</v>
      </c>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hidden="1"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hidden="1"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hidden="1"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hidden="1"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hidden="1"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hidden="1"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hidden="1"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hidden="1"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ht="15" thickTop="1">
      <c r="A100" s="656" t="s">
        <v>545</v>
      </c>
      <c r="B100" s="657" t="s">
        <v>741</v>
      </c>
      <c r="C100" s="3299" t="s">
        <v>3182</v>
      </c>
      <c r="D100" s="3299" t="s">
        <v>3184</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97</v>
      </c>
      <c r="E101" s="671">
        <f t="shared" si="22"/>
        <v>94</v>
      </c>
      <c r="F101" s="671">
        <f t="shared" si="22"/>
        <v>91</v>
      </c>
      <c r="G101" s="671">
        <f t="shared" si="22"/>
        <v>88</v>
      </c>
      <c r="H101" s="671">
        <f t="shared" si="22"/>
        <v>85</v>
      </c>
      <c r="I101" s="671">
        <f t="shared" si="22"/>
        <v>82</v>
      </c>
      <c r="J101" s="671">
        <f t="shared" si="22"/>
        <v>79</v>
      </c>
      <c r="K101" s="671">
        <f t="shared" si="22"/>
        <v>76</v>
      </c>
      <c r="L101" s="671">
        <f t="shared" si="22"/>
        <v>73</v>
      </c>
      <c r="M101" s="671">
        <f t="shared" si="22"/>
        <v>70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0(含)-50000</v>
      </c>
      <c r="D102" s="700" t="str">
        <f t="shared" ref="D102:L102" si="23">D103&amp;"(含)"&amp;"-"&amp;E103</f>
        <v>50000(含)-100000</v>
      </c>
      <c r="E102" s="700" t="str">
        <f t="shared" si="23"/>
        <v>100000(含)-150000</v>
      </c>
      <c r="F102" s="700" t="str">
        <f t="shared" si="23"/>
        <v>150000(含)-200000</v>
      </c>
      <c r="G102" s="700" t="str">
        <f t="shared" si="23"/>
        <v>200000(含)-300000</v>
      </c>
      <c r="H102" s="700" t="str">
        <f t="shared" si="23"/>
        <v>300000(含)-500000</v>
      </c>
      <c r="I102" s="700" t="str">
        <f t="shared" si="23"/>
        <v>500000(含)-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v>0</v>
      </c>
      <c r="D103" s="722">
        <v>50000</v>
      </c>
      <c r="E103" s="722">
        <v>100000</v>
      </c>
      <c r="F103" s="722">
        <v>150000</v>
      </c>
      <c r="G103" s="722">
        <v>200000</v>
      </c>
      <c r="H103" s="722">
        <v>300000</v>
      </c>
      <c r="I103" s="722">
        <v>500000</v>
      </c>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v>100</v>
      </c>
      <c r="D104" s="663">
        <v>101</v>
      </c>
      <c r="E104" s="663">
        <v>102</v>
      </c>
      <c r="F104" s="663">
        <v>103</v>
      </c>
      <c r="G104" s="663">
        <v>104</v>
      </c>
      <c r="H104" s="663">
        <v>105</v>
      </c>
      <c r="I104" s="663">
        <v>106</v>
      </c>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300" t="s">
        <v>3186</v>
      </c>
      <c r="D105" s="3300" t="s">
        <v>3187</v>
      </c>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3307" t="s">
        <v>3191</v>
      </c>
      <c r="D107" s="3307" t="s">
        <v>3193</v>
      </c>
      <c r="E107" s="3307" t="s">
        <v>3194</v>
      </c>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308" t="s">
        <v>3195</v>
      </c>
      <c r="D109" s="3308" t="s">
        <v>3196</v>
      </c>
      <c r="E109" s="3308" t="s">
        <v>3197</v>
      </c>
      <c r="F109" s="3301" t="s">
        <v>3198</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300" t="s">
        <v>3189</v>
      </c>
      <c r="D114" s="3300" t="s">
        <v>3190</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98</v>
      </c>
      <c r="E115" s="671">
        <f t="shared" si="27"/>
        <v>96</v>
      </c>
      <c r="F115" s="671">
        <f t="shared" si="27"/>
        <v>94</v>
      </c>
      <c r="G115" s="671">
        <f t="shared" si="27"/>
        <v>92</v>
      </c>
      <c r="H115" s="671">
        <f t="shared" si="27"/>
        <v>90</v>
      </c>
      <c r="I115" s="671">
        <f t="shared" si="27"/>
        <v>88</v>
      </c>
      <c r="J115" s="671">
        <f t="shared" si="27"/>
        <v>86</v>
      </c>
      <c r="K115" s="671">
        <f t="shared" si="27"/>
        <v>84</v>
      </c>
      <c r="L115" s="671">
        <f t="shared" si="27"/>
        <v>82</v>
      </c>
      <c r="M115" s="671">
        <f t="shared" si="27"/>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2533</v>
      </c>
      <c r="C116" s="3300" t="s">
        <v>3145</v>
      </c>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hidden="1"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hidden="1"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hidden="1"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hidden="1"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08" t="s">
        <v>3195</v>
      </c>
      <c r="D122" s="3308" t="s">
        <v>3196</v>
      </c>
      <c r="E122" s="3308" t="s">
        <v>3197</v>
      </c>
      <c r="F122" s="3301" t="s">
        <v>3198</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97</v>
      </c>
      <c r="E123" s="671">
        <f t="shared" si="29"/>
        <v>94</v>
      </c>
      <c r="F123" s="671">
        <f t="shared" si="29"/>
        <v>91</v>
      </c>
      <c r="G123" s="671">
        <f t="shared" si="29"/>
        <v>88</v>
      </c>
      <c r="H123" s="671">
        <f t="shared" si="29"/>
        <v>85</v>
      </c>
      <c r="I123" s="671">
        <f t="shared" si="29"/>
        <v>82</v>
      </c>
      <c r="J123" s="671">
        <f t="shared" si="29"/>
        <v>79</v>
      </c>
      <c r="K123" s="671">
        <f t="shared" si="29"/>
        <v>76</v>
      </c>
      <c r="L123" s="671">
        <f t="shared" si="29"/>
        <v>73</v>
      </c>
      <c r="M123" s="671">
        <f t="shared" si="29"/>
        <v>70</v>
      </c>
      <c r="N123" s="2047"/>
      <c r="O123" s="2047"/>
      <c r="P123" s="2046"/>
      <c r="Q123" s="2039"/>
      <c r="R123" s="2027"/>
      <c r="S123" s="2027"/>
      <c r="T123" s="2027"/>
      <c r="U123" s="2027"/>
      <c r="V123" s="2027"/>
      <c r="W123" s="2027"/>
      <c r="X123" s="2027"/>
      <c r="Y123" s="2027"/>
      <c r="Z123" s="2027"/>
      <c r="AA123" s="2027"/>
      <c r="AB123" s="2027"/>
      <c r="AC123" s="2027"/>
    </row>
    <row r="124" spans="1:29" ht="27.75" hidden="1"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hidden="1"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hidden="1"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hidden="1"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hidden="1"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hidden="1"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hidden="1"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hidden="1"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ht="15" thickTop="1">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2244</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2245</v>
      </c>
      <c r="C137" s="1833"/>
      <c r="D137" s="1833"/>
      <c r="E137" s="1833"/>
      <c r="F137" s="1833"/>
      <c r="G137" s="1834"/>
      <c r="H137" s="1835"/>
      <c r="I137" s="1836" t="s">
        <v>2246</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2247</v>
      </c>
      <c r="D138" s="1839" t="s">
        <v>2248</v>
      </c>
      <c r="E138" s="1840" t="s">
        <v>2249</v>
      </c>
      <c r="F138" s="1841" t="s">
        <v>2250</v>
      </c>
      <c r="G138" s="1839" t="s">
        <v>2251</v>
      </c>
      <c r="H138" s="1842" t="s">
        <v>2252</v>
      </c>
      <c r="I138" s="1843"/>
      <c r="J138" s="1839" t="s">
        <v>2253</v>
      </c>
      <c r="K138" s="1842" t="s">
        <v>2254</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2255</v>
      </c>
      <c r="E139" s="1813">
        <v>100</v>
      </c>
      <c r="F139" s="1814">
        <v>102.5</v>
      </c>
      <c r="G139" s="1844" t="s">
        <v>2256</v>
      </c>
      <c r="H139" s="1815">
        <v>105</v>
      </c>
      <c r="I139" s="1845" t="s">
        <v>2257</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2258</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2259</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2260</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2261</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2262</v>
      </c>
      <c r="E144" s="1819">
        <v>102</v>
      </c>
      <c r="F144" s="1825">
        <v>100</v>
      </c>
      <c r="G144" s="1848" t="s">
        <v>2262</v>
      </c>
      <c r="H144" s="1821">
        <v>105</v>
      </c>
      <c r="I144" s="1847" t="s">
        <v>2261</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2263</v>
      </c>
      <c r="C145" s="1826">
        <f>ROUND(MAX(C139:C144)/MIN(C139:C144)-1,3)</f>
        <v>7.2999999999999995E-2</v>
      </c>
      <c r="D145" s="1850"/>
      <c r="E145" s="1850"/>
      <c r="F145" s="1851" t="s">
        <v>2264</v>
      </c>
      <c r="G145" s="1852"/>
      <c r="H145" s="1853"/>
      <c r="I145" s="1854" t="s">
        <v>2261</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2272</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2273</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5"/>
  <sheetViews>
    <sheetView workbookViewId="0">
      <selection activeCell="G24" sqref="G24"/>
    </sheetView>
  </sheetViews>
  <sheetFormatPr defaultRowHeight="13.5"/>
  <cols>
    <col min="1" max="1" width="16.875" customWidth="1"/>
    <col min="2" max="2" width="24.125" bestFit="1" customWidth="1"/>
    <col min="3" max="3" width="15.625" customWidth="1"/>
    <col min="4" max="4" width="39.375" bestFit="1" customWidth="1"/>
  </cols>
  <sheetData>
    <row r="1" spans="1:6">
      <c r="B1" s="3245" t="s">
        <v>3203</v>
      </c>
      <c r="D1" s="3245" t="s">
        <v>3202</v>
      </c>
      <c r="E1" s="3309" t="s">
        <v>3201</v>
      </c>
      <c r="F1" s="3309" t="s">
        <v>3122</v>
      </c>
    </row>
    <row r="2" spans="1:6">
      <c r="A2" s="3306" t="s">
        <v>3179</v>
      </c>
      <c r="B2" s="3277" t="s">
        <v>3107</v>
      </c>
      <c r="C2" s="3277" t="s">
        <v>3108</v>
      </c>
      <c r="D2" s="3277" t="s">
        <v>3109</v>
      </c>
      <c r="E2" s="3311">
        <v>825292</v>
      </c>
      <c r="F2" s="3312">
        <v>4</v>
      </c>
    </row>
    <row r="3" spans="1:6" ht="27">
      <c r="A3" s="3306" t="s">
        <v>3178</v>
      </c>
      <c r="B3" s="3277" t="s">
        <v>3110</v>
      </c>
      <c r="C3" s="3277" t="s">
        <v>3111</v>
      </c>
      <c r="D3" s="3277" t="s">
        <v>3112</v>
      </c>
      <c r="E3">
        <v>100000</v>
      </c>
      <c r="F3">
        <v>3.98</v>
      </c>
    </row>
    <row r="4" spans="1:6">
      <c r="A4" s="3306" t="s">
        <v>3180</v>
      </c>
      <c r="B4" s="3277" t="s">
        <v>3113</v>
      </c>
      <c r="C4" s="3277" t="s">
        <v>3114</v>
      </c>
      <c r="D4" s="3306" t="s">
        <v>3204</v>
      </c>
      <c r="E4">
        <v>310000</v>
      </c>
      <c r="F4">
        <v>3.5</v>
      </c>
    </row>
    <row r="5" spans="1:6" ht="27">
      <c r="A5" s="3306" t="s">
        <v>3181</v>
      </c>
      <c r="B5" s="3277" t="s">
        <v>3115</v>
      </c>
      <c r="C5" s="3277"/>
      <c r="D5" s="3277" t="s">
        <v>3116</v>
      </c>
      <c r="E5" s="3312">
        <f>ROUND(36553*F5,0)</f>
        <v>102348</v>
      </c>
      <c r="F5" s="3312">
        <v>2.8</v>
      </c>
    </row>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12" t="s">
        <v>516</v>
      </c>
      <c r="D4" s="3513"/>
      <c r="E4" s="3548" t="s">
        <v>517</v>
      </c>
      <c r="F4" s="3549"/>
      <c r="G4" s="3512" t="s">
        <v>518</v>
      </c>
      <c r="H4" s="3513"/>
      <c r="I4" s="3512" t="s">
        <v>519</v>
      </c>
      <c r="J4" s="3513"/>
      <c r="K4" s="508" t="s">
        <v>520</v>
      </c>
      <c r="L4" s="2015"/>
      <c r="M4" s="2016"/>
      <c r="N4" s="2016"/>
      <c r="O4" s="2016"/>
      <c r="P4" s="3514" t="s">
        <v>521</v>
      </c>
      <c r="Q4" s="3515"/>
      <c r="R4" s="3520" t="s">
        <v>517</v>
      </c>
      <c r="S4" s="3521"/>
      <c r="T4" s="3520" t="s">
        <v>518</v>
      </c>
      <c r="U4" s="3521"/>
      <c r="V4" s="3507" t="s">
        <v>519</v>
      </c>
      <c r="W4" s="3507"/>
      <c r="X4" s="1502"/>
      <c r="Y4" s="3520" t="s">
        <v>521</v>
      </c>
      <c r="Z4" s="3521"/>
      <c r="AA4" s="3509" t="s">
        <v>517</v>
      </c>
      <c r="AB4" s="3507" t="s">
        <v>518</v>
      </c>
      <c r="AC4" s="3509" t="s">
        <v>519</v>
      </c>
    </row>
    <row r="5" spans="1:29" ht="15">
      <c r="A5" s="509"/>
      <c r="B5" s="510"/>
      <c r="C5" s="3528" t="s">
        <v>2880</v>
      </c>
      <c r="D5" s="3529"/>
      <c r="E5" s="3550" t="s">
        <v>2881</v>
      </c>
      <c r="F5" s="3551"/>
      <c r="G5" s="3528" t="s">
        <v>2882</v>
      </c>
      <c r="H5" s="3529"/>
      <c r="I5" s="3528" t="s">
        <v>2883</v>
      </c>
      <c r="J5" s="3529"/>
      <c r="K5" s="508"/>
      <c r="L5" s="2015"/>
      <c r="M5" s="2016"/>
      <c r="N5" s="2016"/>
      <c r="O5" s="2016"/>
      <c r="P5" s="3516"/>
      <c r="Q5" s="3517"/>
      <c r="R5" s="3522"/>
      <c r="S5" s="3523"/>
      <c r="T5" s="3522"/>
      <c r="U5" s="3523"/>
      <c r="V5" s="3507"/>
      <c r="W5" s="3507"/>
      <c r="X5" s="1502"/>
      <c r="Y5" s="3522"/>
      <c r="Z5" s="3523"/>
      <c r="AA5" s="3510"/>
      <c r="AB5" s="3507"/>
      <c r="AC5" s="3510"/>
    </row>
    <row r="6" spans="1:29" ht="15.75" thickBot="1">
      <c r="A6" s="511"/>
      <c r="B6" s="512"/>
      <c r="C6" s="3526" t="s">
        <v>2884</v>
      </c>
      <c r="D6" s="3527"/>
      <c r="E6" s="3546" t="s">
        <v>2884</v>
      </c>
      <c r="F6" s="3547"/>
      <c r="G6" s="3526" t="s">
        <v>2884</v>
      </c>
      <c r="H6" s="3527"/>
      <c r="I6" s="3526" t="s">
        <v>2884</v>
      </c>
      <c r="J6" s="3527"/>
      <c r="K6" s="508" t="s">
        <v>522</v>
      </c>
      <c r="L6" s="2015"/>
      <c r="M6" s="2016"/>
      <c r="N6" s="2016"/>
      <c r="O6" s="2016"/>
      <c r="P6" s="3518"/>
      <c r="Q6" s="3519"/>
      <c r="R6" s="3522"/>
      <c r="S6" s="3523"/>
      <c r="T6" s="3524"/>
      <c r="U6" s="3525"/>
      <c r="V6" s="3507"/>
      <c r="W6" s="3507"/>
      <c r="X6" s="1502"/>
      <c r="Y6" s="3524"/>
      <c r="Z6" s="3525"/>
      <c r="AA6" s="3511"/>
      <c r="AB6" s="3507"/>
      <c r="AC6" s="3511"/>
    </row>
    <row r="7" spans="1:29" s="1203" customFormat="1" ht="15.75" thickBot="1">
      <c r="A7" s="2629"/>
      <c r="B7" s="2636" t="s">
        <v>523</v>
      </c>
      <c r="C7" s="513">
        <f>'数据-取费表'!B2</f>
        <v>44166</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39" t="s">
        <v>524</v>
      </c>
      <c r="Q7" s="3541"/>
      <c r="R7" s="1503" t="s">
        <v>8</v>
      </c>
      <c r="S7" s="1504">
        <f t="shared" ref="S7:S15" si="0">F7</f>
        <v>0</v>
      </c>
      <c r="T7" s="1503" t="s">
        <v>8</v>
      </c>
      <c r="U7" s="1504">
        <f t="shared" ref="U7:U15" si="1">H7</f>
        <v>0</v>
      </c>
      <c r="V7" s="1503" t="s">
        <v>8</v>
      </c>
      <c r="W7" s="1504">
        <f t="shared" ref="W7:W15" si="2">J7</f>
        <v>0</v>
      </c>
      <c r="X7" s="1505"/>
      <c r="Y7" s="3539" t="s">
        <v>524</v>
      </c>
      <c r="Z7" s="3540"/>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39" t="s">
        <v>527</v>
      </c>
      <c r="Q8" s="3540"/>
      <c r="R8" s="1503" t="s">
        <v>8</v>
      </c>
      <c r="S8" s="1504">
        <f t="shared" si="0"/>
        <v>0</v>
      </c>
      <c r="T8" s="1503" t="s">
        <v>8</v>
      </c>
      <c r="U8" s="1504">
        <f t="shared" si="1"/>
        <v>0</v>
      </c>
      <c r="V8" s="1503" t="s">
        <v>8</v>
      </c>
      <c r="W8" s="1504">
        <f t="shared" si="2"/>
        <v>0</v>
      </c>
      <c r="X8" s="1505"/>
      <c r="Y8" s="3539" t="s">
        <v>527</v>
      </c>
      <c r="Z8" s="3540"/>
      <c r="AA8" s="1506" t="e">
        <f t="shared" ref="AA8:AA46" si="3">D8/F8</f>
        <v>#DIV/0!</v>
      </c>
      <c r="AB8" s="1506" t="e">
        <f t="shared" ref="AB8:AB46" si="4">D8/H8</f>
        <v>#DIV/0!</v>
      </c>
      <c r="AC8" s="1506" t="e">
        <f t="shared" ref="AC8:AC46" si="5">D8/J8</f>
        <v>#DIV/0!</v>
      </c>
    </row>
    <row r="9" spans="1:29" s="1203" customFormat="1" ht="15">
      <c r="A9" s="2631"/>
      <c r="B9" s="2638" t="s">
        <v>2732</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06" t="s">
        <v>529</v>
      </c>
      <c r="Q9" s="1134" t="str">
        <f t="shared" ref="Q9:Q15" si="6">B9</f>
        <v>用途</v>
      </c>
      <c r="R9" s="1503" t="s">
        <v>8</v>
      </c>
      <c r="S9" s="1504">
        <f t="shared" si="0"/>
        <v>100</v>
      </c>
      <c r="T9" s="1503" t="s">
        <v>8</v>
      </c>
      <c r="U9" s="1504">
        <f t="shared" si="1"/>
        <v>100</v>
      </c>
      <c r="V9" s="1503" t="s">
        <v>8</v>
      </c>
      <c r="W9" s="1504">
        <f t="shared" si="2"/>
        <v>100</v>
      </c>
      <c r="X9" s="1505"/>
      <c r="Y9" s="3452" t="s">
        <v>530</v>
      </c>
      <c r="Z9" s="1133" t="str">
        <f t="shared" ref="Z9:Z15" si="7">Q9</f>
        <v>用途</v>
      </c>
      <c r="AA9" s="1506">
        <f t="shared" si="3"/>
        <v>1</v>
      </c>
      <c r="AB9" s="1506">
        <f t="shared" si="4"/>
        <v>1</v>
      </c>
      <c r="AC9" s="1506">
        <f t="shared" si="5"/>
        <v>1</v>
      </c>
    </row>
    <row r="10" spans="1:29" s="1292" customFormat="1" ht="27">
      <c r="A10" s="2632"/>
      <c r="B10" s="2637" t="s">
        <v>2733</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06"/>
      <c r="Q10" s="1134" t="str">
        <f t="shared" si="6"/>
        <v>土地使用年限（年）</v>
      </c>
      <c r="R10" s="1503" t="s">
        <v>8</v>
      </c>
      <c r="S10" s="1504">
        <f t="shared" si="0"/>
        <v>100</v>
      </c>
      <c r="T10" s="1503" t="s">
        <v>8</v>
      </c>
      <c r="U10" s="1504">
        <f t="shared" si="1"/>
        <v>100</v>
      </c>
      <c r="V10" s="1503" t="s">
        <v>8</v>
      </c>
      <c r="W10" s="1504">
        <f t="shared" si="2"/>
        <v>100</v>
      </c>
      <c r="X10" s="1505"/>
      <c r="Y10" s="3452"/>
      <c r="Z10" s="1133" t="str">
        <f t="shared" si="7"/>
        <v>土地使用年限（年）</v>
      </c>
      <c r="AA10" s="1506">
        <f t="shared" si="3"/>
        <v>1</v>
      </c>
      <c r="AB10" s="1506">
        <f t="shared" si="4"/>
        <v>1</v>
      </c>
      <c r="AC10" s="1506">
        <f t="shared" si="5"/>
        <v>1</v>
      </c>
    </row>
    <row r="11" spans="1:29" ht="15">
      <c r="A11" s="2633"/>
      <c r="B11" s="2637" t="s">
        <v>2734</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06"/>
      <c r="Q11" s="1134" t="str">
        <f t="shared" si="6"/>
        <v>容积率</v>
      </c>
      <c r="R11" s="1503" t="s">
        <v>8</v>
      </c>
      <c r="S11" s="1504" t="e">
        <f t="shared" si="0"/>
        <v>#N/A</v>
      </c>
      <c r="T11" s="1503" t="s">
        <v>8</v>
      </c>
      <c r="U11" s="1504" t="e">
        <f t="shared" si="1"/>
        <v>#N/A</v>
      </c>
      <c r="V11" s="1503" t="s">
        <v>8</v>
      </c>
      <c r="W11" s="1504" t="e">
        <f t="shared" si="2"/>
        <v>#N/A</v>
      </c>
      <c r="X11" s="1505"/>
      <c r="Y11" s="345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06"/>
      <c r="Q12" s="1134">
        <f t="shared" si="6"/>
        <v>111</v>
      </c>
      <c r="R12" s="1503" t="s">
        <v>8</v>
      </c>
      <c r="S12" s="1504">
        <f t="shared" si="0"/>
        <v>100</v>
      </c>
      <c r="T12" s="1503" t="s">
        <v>8</v>
      </c>
      <c r="U12" s="1504">
        <f t="shared" si="1"/>
        <v>100</v>
      </c>
      <c r="V12" s="1503" t="s">
        <v>8</v>
      </c>
      <c r="W12" s="1504">
        <f t="shared" si="2"/>
        <v>100</v>
      </c>
      <c r="X12" s="1505"/>
      <c r="Y12" s="3452"/>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06"/>
      <c r="Q13" s="1134">
        <f t="shared" si="6"/>
        <v>111</v>
      </c>
      <c r="R13" s="1503" t="s">
        <v>8</v>
      </c>
      <c r="S13" s="1504">
        <f t="shared" si="0"/>
        <v>100</v>
      </c>
      <c r="T13" s="1503" t="s">
        <v>8</v>
      </c>
      <c r="U13" s="1504">
        <f t="shared" si="1"/>
        <v>100</v>
      </c>
      <c r="V13" s="1503" t="s">
        <v>8</v>
      </c>
      <c r="W13" s="1504">
        <f t="shared" si="2"/>
        <v>100</v>
      </c>
      <c r="X13" s="1505"/>
      <c r="Y13" s="3452"/>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06"/>
      <c r="Q14" s="1134">
        <f t="shared" si="6"/>
        <v>111</v>
      </c>
      <c r="R14" s="1503" t="s">
        <v>8</v>
      </c>
      <c r="S14" s="1504">
        <f t="shared" si="0"/>
        <v>100</v>
      </c>
      <c r="T14" s="1503" t="s">
        <v>8</v>
      </c>
      <c r="U14" s="1504">
        <f t="shared" si="1"/>
        <v>100</v>
      </c>
      <c r="V14" s="1503" t="s">
        <v>8</v>
      </c>
      <c r="W14" s="1504">
        <f t="shared" si="2"/>
        <v>100</v>
      </c>
      <c r="X14" s="1505"/>
      <c r="Y14" s="3452"/>
      <c r="Z14" s="1133">
        <f t="shared" si="7"/>
        <v>111</v>
      </c>
      <c r="AA14" s="1506">
        <f t="shared" si="3"/>
        <v>1</v>
      </c>
      <c r="AB14" s="1506">
        <f t="shared" si="4"/>
        <v>1</v>
      </c>
      <c r="AC14" s="1506">
        <f t="shared" si="5"/>
        <v>1</v>
      </c>
    </row>
    <row r="15" spans="1:29" ht="15">
      <c r="A15" s="2627" t="s">
        <v>2730</v>
      </c>
      <c r="B15" s="164" t="s">
        <v>535</v>
      </c>
      <c r="C15" s="856">
        <f>估价对象房地状况!C4</f>
        <v>0</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2" t="s">
        <v>534</v>
      </c>
      <c r="Q15" s="1507" t="str">
        <f t="shared" si="6"/>
        <v>商业繁华度</v>
      </c>
      <c r="R15" s="1508" t="s">
        <v>8</v>
      </c>
      <c r="S15" s="1509">
        <f t="shared" si="0"/>
        <v>100</v>
      </c>
      <c r="T15" s="1508" t="s">
        <v>8</v>
      </c>
      <c r="U15" s="1509">
        <f t="shared" si="1"/>
        <v>100</v>
      </c>
      <c r="V15" s="1508" t="s">
        <v>8</v>
      </c>
      <c r="W15" s="1509">
        <f t="shared" si="2"/>
        <v>100</v>
      </c>
      <c r="X15" s="1502"/>
      <c r="Y15" s="3542"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3"/>
      <c r="Q16" s="1507"/>
      <c r="R16" s="1508"/>
      <c r="S16" s="1509"/>
      <c r="T16" s="1508"/>
      <c r="U16" s="1509"/>
      <c r="V16" s="1508"/>
      <c r="W16" s="1509"/>
      <c r="X16" s="1502"/>
      <c r="Y16" s="3543"/>
      <c r="Z16" s="1510"/>
      <c r="AA16" s="1511">
        <v>1</v>
      </c>
      <c r="AB16" s="1511">
        <v>1</v>
      </c>
      <c r="AC16" s="1511">
        <v>1</v>
      </c>
    </row>
    <row r="17" spans="1:29" ht="15">
      <c r="A17" s="526"/>
      <c r="B17" s="860" t="s">
        <v>296</v>
      </c>
      <c r="C17" s="861" t="str">
        <f>估价对象房地状况!C6</f>
        <v>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3"/>
      <c r="Q17" s="1507" t="str">
        <f>B17</f>
        <v>交通便捷度</v>
      </c>
      <c r="R17" s="1508" t="s">
        <v>8</v>
      </c>
      <c r="S17" s="1509">
        <f>F17</f>
        <v>100</v>
      </c>
      <c r="T17" s="1508" t="s">
        <v>8</v>
      </c>
      <c r="U17" s="1509">
        <f>H17</f>
        <v>100</v>
      </c>
      <c r="V17" s="1508" t="s">
        <v>8</v>
      </c>
      <c r="W17" s="1509">
        <f>J17</f>
        <v>100</v>
      </c>
      <c r="X17" s="1502"/>
      <c r="Y17" s="354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3"/>
      <c r="Q18" s="1507"/>
      <c r="R18" s="1508"/>
      <c r="S18" s="1509"/>
      <c r="T18" s="1508"/>
      <c r="U18" s="1509"/>
      <c r="V18" s="1508"/>
      <c r="W18" s="1509"/>
      <c r="X18" s="1502"/>
      <c r="Y18" s="3543"/>
      <c r="Z18" s="1510"/>
      <c r="AA18" s="1511">
        <v>1</v>
      </c>
      <c r="AB18" s="1511">
        <v>1</v>
      </c>
      <c r="AC18" s="1511">
        <v>1</v>
      </c>
    </row>
    <row r="19" spans="1:29" ht="15">
      <c r="A19" s="526"/>
      <c r="B19" s="2444" t="s">
        <v>2523</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3"/>
      <c r="Q19" s="1507" t="str">
        <f>B19</f>
        <v>公共配套设施</v>
      </c>
      <c r="R19" s="1508" t="s">
        <v>8</v>
      </c>
      <c r="S19" s="1509">
        <f>F19</f>
        <v>100</v>
      </c>
      <c r="T19" s="1508" t="s">
        <v>8</v>
      </c>
      <c r="U19" s="1509">
        <f>H19</f>
        <v>100</v>
      </c>
      <c r="V19" s="1508" t="s">
        <v>8</v>
      </c>
      <c r="W19" s="1509">
        <f>J19</f>
        <v>100</v>
      </c>
      <c r="X19" s="1502"/>
      <c r="Y19" s="3543"/>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43"/>
      <c r="Q20" s="1507"/>
      <c r="R20" s="1508"/>
      <c r="S20" s="1509"/>
      <c r="T20" s="1508"/>
      <c r="U20" s="1509"/>
      <c r="V20" s="1508"/>
      <c r="W20" s="1509"/>
      <c r="X20" s="1502"/>
      <c r="Y20" s="3543"/>
      <c r="Z20" s="1510"/>
      <c r="AA20" s="1511">
        <v>1</v>
      </c>
      <c r="AB20" s="1511">
        <v>1</v>
      </c>
      <c r="AC20" s="1511">
        <v>1</v>
      </c>
    </row>
    <row r="21" spans="1:29" ht="15">
      <c r="A21" s="526"/>
      <c r="B21" s="2437" t="s">
        <v>2535</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3"/>
      <c r="Q21" s="2429" t="str">
        <f>B21</f>
        <v>基础设施水平</v>
      </c>
      <c r="R21" s="1508" t="s">
        <v>8</v>
      </c>
      <c r="S21" s="1509">
        <f>F21</f>
        <v>100</v>
      </c>
      <c r="T21" s="1508" t="s">
        <v>8</v>
      </c>
      <c r="U21" s="1509">
        <f>H21</f>
        <v>100</v>
      </c>
      <c r="V21" s="1508" t="s">
        <v>8</v>
      </c>
      <c r="W21" s="1509">
        <f>J21</f>
        <v>100</v>
      </c>
      <c r="X21" s="2431"/>
      <c r="Y21" s="3543"/>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43"/>
      <c r="Q22" s="2429"/>
      <c r="R22" s="1508"/>
      <c r="S22" s="1509"/>
      <c r="T22" s="1508"/>
      <c r="U22" s="1509"/>
      <c r="V22" s="1508"/>
      <c r="W22" s="1509"/>
      <c r="X22" s="2431"/>
      <c r="Y22" s="3543"/>
      <c r="Z22" s="2430"/>
      <c r="AA22" s="1511">
        <v>1</v>
      </c>
      <c r="AB22" s="1511">
        <v>1</v>
      </c>
      <c r="AC22" s="1511">
        <v>1</v>
      </c>
    </row>
    <row r="23" spans="1:29" ht="15">
      <c r="A23" s="526"/>
      <c r="B23" s="860" t="s">
        <v>297</v>
      </c>
      <c r="C23" s="889"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3"/>
      <c r="Q23" s="1507" t="str">
        <f>B23</f>
        <v>自然及人文环境</v>
      </c>
      <c r="R23" s="1508" t="s">
        <v>8</v>
      </c>
      <c r="S23" s="1509">
        <f>F23</f>
        <v>100</v>
      </c>
      <c r="T23" s="1508" t="s">
        <v>8</v>
      </c>
      <c r="U23" s="1509">
        <f>H23</f>
        <v>100</v>
      </c>
      <c r="V23" s="1508" t="s">
        <v>8</v>
      </c>
      <c r="W23" s="1509">
        <f>J23</f>
        <v>100</v>
      </c>
      <c r="X23" s="1502"/>
      <c r="Y23" s="3543"/>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43"/>
      <c r="Q24" s="1507"/>
      <c r="R24" s="1508"/>
      <c r="S24" s="1509"/>
      <c r="T24" s="1508"/>
      <c r="U24" s="1509"/>
      <c r="V24" s="1508"/>
      <c r="W24" s="1509"/>
      <c r="X24" s="1502"/>
      <c r="Y24" s="3543"/>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3"/>
      <c r="Q25" s="1507" t="str">
        <f t="shared" ref="Q25:Q46" si="11">B25</f>
        <v>临街状况</v>
      </c>
      <c r="R25" s="1508" t="s">
        <v>8</v>
      </c>
      <c r="S25" s="1509">
        <f>F25</f>
        <v>100</v>
      </c>
      <c r="T25" s="1508" t="s">
        <v>8</v>
      </c>
      <c r="U25" s="1509">
        <f>H25</f>
        <v>100</v>
      </c>
      <c r="V25" s="1508" t="s">
        <v>8</v>
      </c>
      <c r="W25" s="1509">
        <f>J25</f>
        <v>100</v>
      </c>
      <c r="X25" s="1502"/>
      <c r="Y25" s="3543"/>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3"/>
      <c r="Q26" s="1507" t="str">
        <f t="shared" si="11"/>
        <v>平面位置/可视性</v>
      </c>
      <c r="R26" s="1508" t="s">
        <v>8</v>
      </c>
      <c r="S26" s="1509">
        <f>F26</f>
        <v>100</v>
      </c>
      <c r="T26" s="1508" t="s">
        <v>8</v>
      </c>
      <c r="U26" s="1509">
        <f>H26</f>
        <v>100</v>
      </c>
      <c r="V26" s="1508" t="s">
        <v>8</v>
      </c>
      <c r="W26" s="1509">
        <f>J26</f>
        <v>100</v>
      </c>
      <c r="X26" s="1502"/>
      <c r="Y26" s="3543"/>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3"/>
      <c r="Q27" s="1134" t="str">
        <f t="shared" si="11"/>
        <v>人流量</v>
      </c>
      <c r="R27" s="1503" t="s">
        <v>8</v>
      </c>
      <c r="S27" s="1504">
        <f>F27</f>
        <v>100</v>
      </c>
      <c r="T27" s="1503" t="s">
        <v>8</v>
      </c>
      <c r="U27" s="1504">
        <f>H27</f>
        <v>100</v>
      </c>
      <c r="V27" s="1503" t="s">
        <v>8</v>
      </c>
      <c r="W27" s="1504">
        <f>J27</f>
        <v>100</v>
      </c>
      <c r="X27" s="1505"/>
      <c r="Y27" s="3543"/>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3"/>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43"/>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3"/>
      <c r="Q29" s="1507">
        <f t="shared" si="11"/>
        <v>111</v>
      </c>
      <c r="R29" s="1508" t="s">
        <v>8</v>
      </c>
      <c r="S29" s="1509">
        <f t="shared" si="12"/>
        <v>100</v>
      </c>
      <c r="T29" s="1508" t="s">
        <v>8</v>
      </c>
      <c r="U29" s="1509">
        <f t="shared" si="13"/>
        <v>100</v>
      </c>
      <c r="V29" s="1508" t="s">
        <v>8</v>
      </c>
      <c r="W29" s="1509">
        <f t="shared" si="14"/>
        <v>100</v>
      </c>
      <c r="X29" s="1502"/>
      <c r="Y29" s="3543"/>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3"/>
      <c r="Q30" s="1507">
        <f t="shared" si="11"/>
        <v>111</v>
      </c>
      <c r="R30" s="1508" t="s">
        <v>8</v>
      </c>
      <c r="S30" s="1509">
        <f t="shared" si="12"/>
        <v>100</v>
      </c>
      <c r="T30" s="1508" t="s">
        <v>8</v>
      </c>
      <c r="U30" s="1509">
        <f t="shared" si="13"/>
        <v>100</v>
      </c>
      <c r="V30" s="1508" t="s">
        <v>8</v>
      </c>
      <c r="W30" s="1509">
        <f t="shared" si="14"/>
        <v>100</v>
      </c>
      <c r="X30" s="1502"/>
      <c r="Y30" s="3543"/>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3"/>
      <c r="Q31" s="1507">
        <f t="shared" si="11"/>
        <v>111</v>
      </c>
      <c r="R31" s="1508" t="s">
        <v>8</v>
      </c>
      <c r="S31" s="1509">
        <f t="shared" si="12"/>
        <v>100</v>
      </c>
      <c r="T31" s="1508" t="s">
        <v>8</v>
      </c>
      <c r="U31" s="1509">
        <f t="shared" si="13"/>
        <v>100</v>
      </c>
      <c r="V31" s="1508" t="s">
        <v>8</v>
      </c>
      <c r="W31" s="1509">
        <f t="shared" si="14"/>
        <v>100</v>
      </c>
      <c r="X31" s="1502"/>
      <c r="Y31" s="3543"/>
      <c r="Z31" s="1510">
        <f t="shared" si="15"/>
        <v>111</v>
      </c>
      <c r="AA31" s="1511">
        <f t="shared" si="3"/>
        <v>1</v>
      </c>
      <c r="AB31" s="1511">
        <f t="shared" si="4"/>
        <v>1</v>
      </c>
      <c r="AC31" s="1511">
        <f t="shared" si="5"/>
        <v>1</v>
      </c>
    </row>
    <row r="32" spans="1:29" ht="15">
      <c r="A32" s="2624" t="s">
        <v>2731</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4" t="s">
        <v>544</v>
      </c>
      <c r="Q32" s="1507" t="str">
        <f t="shared" si="11"/>
        <v>商业类型</v>
      </c>
      <c r="R32" s="1508" t="s">
        <v>8</v>
      </c>
      <c r="S32" s="1509">
        <f t="shared" si="12"/>
        <v>100</v>
      </c>
      <c r="T32" s="1508" t="s">
        <v>8</v>
      </c>
      <c r="U32" s="1509">
        <f t="shared" si="13"/>
        <v>100</v>
      </c>
      <c r="V32" s="1508" t="s">
        <v>8</v>
      </c>
      <c r="W32" s="1509">
        <f t="shared" si="14"/>
        <v>100</v>
      </c>
      <c r="X32" s="1502"/>
      <c r="Y32" s="3545"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5"/>
      <c r="Q33" s="1536" t="str">
        <f t="shared" si="11"/>
        <v>项目建筑规模</v>
      </c>
      <c r="R33" s="1512" t="s">
        <v>8</v>
      </c>
      <c r="S33" s="1513" t="e">
        <f t="shared" si="12"/>
        <v>#N/A</v>
      </c>
      <c r="T33" s="1512" t="s">
        <v>8</v>
      </c>
      <c r="U33" s="1513" t="e">
        <f t="shared" si="13"/>
        <v>#N/A</v>
      </c>
      <c r="V33" s="1512" t="s">
        <v>8</v>
      </c>
      <c r="W33" s="1513" t="e">
        <f t="shared" si="14"/>
        <v>#N/A</v>
      </c>
      <c r="X33" s="1514"/>
      <c r="Y33" s="3545"/>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45"/>
      <c r="Q34" s="1507" t="str">
        <f t="shared" si="11"/>
        <v>建筑结构</v>
      </c>
      <c r="R34" s="1508" t="s">
        <v>8</v>
      </c>
      <c r="S34" s="1509">
        <f t="shared" si="12"/>
        <v>100</v>
      </c>
      <c r="T34" s="1508" t="s">
        <v>8</v>
      </c>
      <c r="U34" s="1509">
        <f t="shared" si="13"/>
        <v>100</v>
      </c>
      <c r="V34" s="1508" t="s">
        <v>8</v>
      </c>
      <c r="W34" s="1509">
        <f t="shared" si="14"/>
        <v>100</v>
      </c>
      <c r="X34" s="1502"/>
      <c r="Y34" s="3545"/>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5"/>
      <c r="Q35" s="1507" t="str">
        <f t="shared" si="11"/>
        <v>公共部分装修</v>
      </c>
      <c r="R35" s="1508" t="s">
        <v>8</v>
      </c>
      <c r="S35" s="1509">
        <f t="shared" si="12"/>
        <v>100</v>
      </c>
      <c r="T35" s="1508" t="s">
        <v>8</v>
      </c>
      <c r="U35" s="1509">
        <f t="shared" si="13"/>
        <v>100</v>
      </c>
      <c r="V35" s="1508" t="s">
        <v>8</v>
      </c>
      <c r="W35" s="1509">
        <f t="shared" si="14"/>
        <v>100</v>
      </c>
      <c r="X35" s="1502"/>
      <c r="Y35" s="3545"/>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45"/>
      <c r="Q36" s="1507" t="str">
        <f t="shared" si="11"/>
        <v>成新度</v>
      </c>
      <c r="R36" s="1508" t="s">
        <v>8</v>
      </c>
      <c r="S36" s="1509" t="e">
        <f t="shared" si="12"/>
        <v>#N/A</v>
      </c>
      <c r="T36" s="1508" t="s">
        <v>8</v>
      </c>
      <c r="U36" s="1509" t="e">
        <f t="shared" si="13"/>
        <v>#N/A</v>
      </c>
      <c r="V36" s="1508" t="s">
        <v>8</v>
      </c>
      <c r="W36" s="1509" t="e">
        <f t="shared" si="14"/>
        <v>#N/A</v>
      </c>
      <c r="X36" s="1502"/>
      <c r="Y36" s="3545"/>
      <c r="Z36" s="1510" t="str">
        <f t="shared" si="15"/>
        <v>成新度</v>
      </c>
      <c r="AA36" s="1511" t="e">
        <f t="shared" si="3"/>
        <v>#N/A</v>
      </c>
      <c r="AB36" s="1511" t="e">
        <f t="shared" si="4"/>
        <v>#N/A</v>
      </c>
      <c r="AC36" s="1511" t="e">
        <f t="shared" si="5"/>
        <v>#N/A</v>
      </c>
    </row>
    <row r="37" spans="1:29" s="1203" customFormat="1" ht="15">
      <c r="A37" s="594"/>
      <c r="B37" s="1809" t="s">
        <v>2542</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5"/>
      <c r="Q37" s="1134" t="str">
        <f t="shared" si="11"/>
        <v>市政基础设施</v>
      </c>
      <c r="R37" s="1503" t="s">
        <v>8</v>
      </c>
      <c r="S37" s="1504">
        <f t="shared" si="12"/>
        <v>100</v>
      </c>
      <c r="T37" s="1503" t="s">
        <v>8</v>
      </c>
      <c r="U37" s="1504">
        <f t="shared" si="13"/>
        <v>100</v>
      </c>
      <c r="V37" s="1503" t="s">
        <v>8</v>
      </c>
      <c r="W37" s="1504">
        <f t="shared" si="14"/>
        <v>100</v>
      </c>
      <c r="X37" s="1505"/>
      <c r="Y37" s="3545"/>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5" t="s">
        <v>760</v>
      </c>
      <c r="Q38" s="1507" t="str">
        <f t="shared" si="11"/>
        <v>业态</v>
      </c>
      <c r="R38" s="1508" t="s">
        <v>8</v>
      </c>
      <c r="S38" s="1509">
        <f t="shared" si="12"/>
        <v>100</v>
      </c>
      <c r="T38" s="1508" t="s">
        <v>8</v>
      </c>
      <c r="U38" s="1509">
        <f t="shared" si="13"/>
        <v>100</v>
      </c>
      <c r="V38" s="1508" t="s">
        <v>8</v>
      </c>
      <c r="W38" s="1509">
        <f t="shared" si="14"/>
        <v>100</v>
      </c>
      <c r="X38" s="1502"/>
      <c r="Y38" s="3545"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5"/>
      <c r="Q39" s="1507" t="str">
        <f t="shared" si="11"/>
        <v>层高</v>
      </c>
      <c r="R39" s="1508" t="s">
        <v>8</v>
      </c>
      <c r="S39" s="1509">
        <f t="shared" si="12"/>
        <v>100</v>
      </c>
      <c r="T39" s="1508" t="s">
        <v>8</v>
      </c>
      <c r="U39" s="1509">
        <f t="shared" si="13"/>
        <v>100</v>
      </c>
      <c r="V39" s="1508" t="s">
        <v>8</v>
      </c>
      <c r="W39" s="1509">
        <f t="shared" si="14"/>
        <v>100</v>
      </c>
      <c r="X39" s="1502"/>
      <c r="Y39" s="3545"/>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45"/>
      <c r="Q40" s="1507" t="str">
        <f t="shared" si="11"/>
        <v>单套建筑面积</v>
      </c>
      <c r="R40" s="1508" t="s">
        <v>8</v>
      </c>
      <c r="S40" s="1509">
        <f t="shared" si="12"/>
        <v>100</v>
      </c>
      <c r="T40" s="1508" t="s">
        <v>8</v>
      </c>
      <c r="U40" s="1509">
        <f t="shared" si="13"/>
        <v>100</v>
      </c>
      <c r="V40" s="1508" t="s">
        <v>8</v>
      </c>
      <c r="W40" s="1509">
        <f t="shared" si="14"/>
        <v>100</v>
      </c>
      <c r="X40" s="1502"/>
      <c r="Y40" s="3545"/>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5"/>
      <c r="Q41" s="1536" t="str">
        <f t="shared" si="11"/>
        <v>进深比</v>
      </c>
      <c r="R41" s="1512" t="s">
        <v>8</v>
      </c>
      <c r="S41" s="1513">
        <f t="shared" si="12"/>
        <v>100</v>
      </c>
      <c r="T41" s="1512" t="s">
        <v>8</v>
      </c>
      <c r="U41" s="1513">
        <f t="shared" si="13"/>
        <v>100</v>
      </c>
      <c r="V41" s="1512" t="s">
        <v>8</v>
      </c>
      <c r="W41" s="1513">
        <f t="shared" si="14"/>
        <v>100</v>
      </c>
      <c r="X41" s="1514"/>
      <c r="Y41" s="3545"/>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5"/>
      <c r="Q42" s="1507" t="str">
        <f t="shared" si="11"/>
        <v>内部装修</v>
      </c>
      <c r="R42" s="1508" t="s">
        <v>8</v>
      </c>
      <c r="S42" s="1509">
        <f t="shared" si="12"/>
        <v>100</v>
      </c>
      <c r="T42" s="1508" t="s">
        <v>8</v>
      </c>
      <c r="U42" s="1509">
        <f t="shared" si="13"/>
        <v>100</v>
      </c>
      <c r="V42" s="1508" t="s">
        <v>8</v>
      </c>
      <c r="W42" s="1509">
        <f t="shared" si="14"/>
        <v>100</v>
      </c>
      <c r="X42" s="1502"/>
      <c r="Y42" s="3545"/>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5"/>
      <c r="Q43" s="1507" t="str">
        <f t="shared" si="11"/>
        <v>内部装修维护情况</v>
      </c>
      <c r="R43" s="1508" t="s">
        <v>8</v>
      </c>
      <c r="S43" s="1509">
        <f t="shared" si="12"/>
        <v>100</v>
      </c>
      <c r="T43" s="1508" t="s">
        <v>8</v>
      </c>
      <c r="U43" s="1509">
        <f t="shared" si="13"/>
        <v>100</v>
      </c>
      <c r="V43" s="1508" t="s">
        <v>8</v>
      </c>
      <c r="W43" s="1509">
        <f t="shared" si="14"/>
        <v>100</v>
      </c>
      <c r="X43" s="1502"/>
      <c r="Y43" s="3545"/>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5"/>
      <c r="Q44" s="1134">
        <f t="shared" si="11"/>
        <v>111</v>
      </c>
      <c r="R44" s="1503" t="s">
        <v>8</v>
      </c>
      <c r="S44" s="1504">
        <f t="shared" si="12"/>
        <v>100</v>
      </c>
      <c r="T44" s="1503" t="s">
        <v>8</v>
      </c>
      <c r="U44" s="1504">
        <f t="shared" si="13"/>
        <v>100</v>
      </c>
      <c r="V44" s="1503" t="s">
        <v>8</v>
      </c>
      <c r="W44" s="1504">
        <f t="shared" si="14"/>
        <v>100</v>
      </c>
      <c r="X44" s="1505"/>
      <c r="Y44" s="3545"/>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5"/>
      <c r="Q45" s="1507">
        <f t="shared" si="11"/>
        <v>111</v>
      </c>
      <c r="R45" s="1508" t="s">
        <v>8</v>
      </c>
      <c r="S45" s="1509">
        <f t="shared" si="12"/>
        <v>100</v>
      </c>
      <c r="T45" s="1508" t="s">
        <v>8</v>
      </c>
      <c r="U45" s="1509">
        <f t="shared" si="13"/>
        <v>100</v>
      </c>
      <c r="V45" s="1508" t="s">
        <v>8</v>
      </c>
      <c r="W45" s="1509">
        <f t="shared" si="14"/>
        <v>100</v>
      </c>
      <c r="X45" s="1502"/>
      <c r="Y45" s="3545"/>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27"/>
      <c r="Q46" s="1507">
        <f t="shared" si="11"/>
        <v>111</v>
      </c>
      <c r="R46" s="1508" t="s">
        <v>8</v>
      </c>
      <c r="S46" s="1509">
        <f t="shared" si="12"/>
        <v>100</v>
      </c>
      <c r="T46" s="1508" t="s">
        <v>8</v>
      </c>
      <c r="U46" s="1509">
        <f t="shared" si="13"/>
        <v>100</v>
      </c>
      <c r="V46" s="1508" t="s">
        <v>8</v>
      </c>
      <c r="W46" s="1509">
        <f t="shared" si="14"/>
        <v>100</v>
      </c>
      <c r="X46" s="1502"/>
      <c r="Y46" s="3627"/>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06" t="str">
        <f>A47</f>
        <v>成交单价（元/平方米）</v>
      </c>
      <c r="Q47" s="3506"/>
      <c r="R47" s="3626">
        <f>E47</f>
        <v>0</v>
      </c>
      <c r="S47" s="3626"/>
      <c r="T47" s="3626">
        <f>G47</f>
        <v>0</v>
      </c>
      <c r="U47" s="3626"/>
      <c r="V47" s="3626">
        <f>I47</f>
        <v>0</v>
      </c>
      <c r="W47" s="3626"/>
      <c r="X47" s="1497"/>
      <c r="Y47" s="1516"/>
      <c r="Z47" s="1497"/>
      <c r="AA47" s="1497"/>
      <c r="AB47" s="1497"/>
      <c r="AC47" s="1497"/>
    </row>
    <row r="48" spans="1:29" ht="15.75" thickBot="1">
      <c r="A48" s="609" t="s">
        <v>2736</v>
      </c>
      <c r="B48" s="877"/>
      <c r="C48" s="2476" t="e">
        <f>R49</f>
        <v>#DIV/0!</v>
      </c>
      <c r="D48" s="3014" t="s">
        <v>2954</v>
      </c>
      <c r="E48" s="2477" t="e">
        <f>R48</f>
        <v>#DIV/0!</v>
      </c>
      <c r="F48" s="3015"/>
      <c r="G48" s="2476" t="e">
        <f>T48</f>
        <v>#DIV/0!</v>
      </c>
      <c r="H48" s="3015"/>
      <c r="I48" s="2477" t="e">
        <f>V48</f>
        <v>#DIV/0!</v>
      </c>
      <c r="J48" s="3015"/>
      <c r="K48" s="3023">
        <f>F48+H48+J48</f>
        <v>0</v>
      </c>
      <c r="L48" s="2026"/>
      <c r="M48" s="2027"/>
      <c r="N48" s="2016"/>
      <c r="O48" s="2027"/>
      <c r="P48" s="3506" t="str">
        <f>A48</f>
        <v>比较价格（元/平方米）</v>
      </c>
      <c r="Q48" s="3506"/>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1497"/>
      <c r="Y48" s="1497"/>
      <c r="Z48" s="1497"/>
      <c r="AA48" s="1497"/>
      <c r="AB48" s="1497"/>
      <c r="AC48" s="1497"/>
    </row>
    <row r="49" spans="1:29" ht="15.75" thickBot="1">
      <c r="A49" s="613" t="s">
        <v>2886</v>
      </c>
      <c r="B49" s="614"/>
      <c r="C49" s="2478" t="e">
        <f>R49</f>
        <v>#DIV/0!</v>
      </c>
      <c r="D49" s="2478"/>
      <c r="E49" s="2478"/>
      <c r="F49" s="2478"/>
      <c r="G49" s="2478"/>
      <c r="H49" s="2478"/>
      <c r="I49" s="2478"/>
      <c r="J49" s="2478"/>
      <c r="K49" s="1542"/>
      <c r="L49" s="2026"/>
      <c r="M49" s="2027"/>
      <c r="N49" s="2016"/>
      <c r="O49" s="2027"/>
      <c r="P49" s="3503" t="str">
        <f>A49</f>
        <v>估价对象XX用房的比较价格（楼面单价，元/平方米）</v>
      </c>
      <c r="Q49" s="3504"/>
      <c r="R49" s="3625" t="e">
        <f>IF(F1="售价",ROUND(IF(D48="简单平均",AVERAGE(R48:V48),R48*F48+T48*H48+V48*J48),0),ROUND(IF(D48="简单平均",AVERAGE(R48:V48),R48*F48+T48*H48+V48*J48),1))</f>
        <v>#DIV/0!</v>
      </c>
      <c r="S49" s="3625"/>
      <c r="T49" s="3625"/>
      <c r="U49" s="3625"/>
      <c r="V49" s="3625"/>
      <c r="W49" s="3625"/>
      <c r="X49" s="1497"/>
      <c r="Y49" s="1497"/>
      <c r="Z49" s="1497"/>
      <c r="AA49" s="1497"/>
      <c r="AB49" s="1497"/>
      <c r="AC49" s="1497"/>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2534</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2535</v>
      </c>
      <c r="C82" s="2442" t="s">
        <v>2536</v>
      </c>
      <c r="D82" s="2442" t="s">
        <v>2537</v>
      </c>
      <c r="E82" s="2442" t="s">
        <v>2538</v>
      </c>
      <c r="F82" s="2442" t="s">
        <v>2539</v>
      </c>
      <c r="G82" s="2442" t="s">
        <v>2540</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2533</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 type="list" allowBlank="1" showInputMessage="1" showErrorMessage="1" sqref="D48" xr:uid="{00000000-0002-0000-24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13" zoomScale="60" zoomScaleNormal="60" workbookViewId="0">
      <selection activeCell="I54" sqref="I5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07"/>
      <c r="M1" s="3208"/>
      <c r="N1" s="3208"/>
      <c r="O1" s="3208"/>
      <c r="P1" s="3271"/>
      <c r="Q1" s="2014"/>
      <c r="R1" s="2014"/>
      <c r="S1" s="2014"/>
      <c r="T1" s="2014"/>
      <c r="U1" s="2014"/>
      <c r="V1" s="2014"/>
      <c r="W1" s="2014"/>
      <c r="X1" s="2014"/>
      <c r="Y1" s="2014"/>
      <c r="Z1" s="2014"/>
      <c r="AA1" s="2014"/>
      <c r="AB1" s="2014"/>
      <c r="AC1" s="3209"/>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6" t="s">
        <v>515</v>
      </c>
      <c r="B4" s="507"/>
      <c r="C4" s="3512" t="s">
        <v>516</v>
      </c>
      <c r="D4" s="3513"/>
      <c r="E4" s="3548" t="s">
        <v>517</v>
      </c>
      <c r="F4" s="3549"/>
      <c r="G4" s="3512" t="s">
        <v>518</v>
      </c>
      <c r="H4" s="3513"/>
      <c r="I4" s="3512" t="s">
        <v>519</v>
      </c>
      <c r="J4" s="3513"/>
      <c r="K4" s="508" t="s">
        <v>520</v>
      </c>
      <c r="L4" s="2015"/>
      <c r="M4" s="2016"/>
      <c r="N4" s="2016"/>
      <c r="O4" s="2016"/>
      <c r="P4" s="3637" t="s">
        <v>521</v>
      </c>
      <c r="Q4" s="3515"/>
      <c r="R4" s="3520" t="s">
        <v>517</v>
      </c>
      <c r="S4" s="3521"/>
      <c r="T4" s="3520" t="s">
        <v>518</v>
      </c>
      <c r="U4" s="3521"/>
      <c r="V4" s="3507" t="s">
        <v>519</v>
      </c>
      <c r="W4" s="3507"/>
      <c r="X4" s="1502"/>
      <c r="Y4" s="3520" t="s">
        <v>521</v>
      </c>
      <c r="Z4" s="3521"/>
      <c r="AA4" s="3509" t="s">
        <v>517</v>
      </c>
      <c r="AB4" s="3509" t="s">
        <v>518</v>
      </c>
      <c r="AC4" s="3509" t="s">
        <v>519</v>
      </c>
    </row>
    <row r="5" spans="1:29" ht="15">
      <c r="A5" s="509"/>
      <c r="B5" s="510"/>
      <c r="C5" s="3528" t="s">
        <v>2880</v>
      </c>
      <c r="D5" s="3529"/>
      <c r="E5" s="3550" t="s">
        <v>2881</v>
      </c>
      <c r="F5" s="3551"/>
      <c r="G5" s="3528" t="s">
        <v>2882</v>
      </c>
      <c r="H5" s="3529"/>
      <c r="I5" s="3528" t="s">
        <v>2883</v>
      </c>
      <c r="J5" s="3529"/>
      <c r="K5" s="508"/>
      <c r="L5" s="2015"/>
      <c r="M5" s="2016"/>
      <c r="N5" s="2016"/>
      <c r="O5" s="2016"/>
      <c r="P5" s="3638"/>
      <c r="Q5" s="3517"/>
      <c r="R5" s="3522"/>
      <c r="S5" s="3523"/>
      <c r="T5" s="3522"/>
      <c r="U5" s="3523"/>
      <c r="V5" s="3507"/>
      <c r="W5" s="3507"/>
      <c r="X5" s="1502"/>
      <c r="Y5" s="3522"/>
      <c r="Z5" s="3523"/>
      <c r="AA5" s="3510"/>
      <c r="AB5" s="3510"/>
      <c r="AC5" s="3510"/>
    </row>
    <row r="6" spans="1:29" ht="15.75" thickBot="1">
      <c r="A6" s="511"/>
      <c r="B6" s="512"/>
      <c r="C6" s="3526" t="s">
        <v>2884</v>
      </c>
      <c r="D6" s="3527"/>
      <c r="E6" s="3546" t="s">
        <v>2884</v>
      </c>
      <c r="F6" s="3547"/>
      <c r="G6" s="3526" t="s">
        <v>2884</v>
      </c>
      <c r="H6" s="3527"/>
      <c r="I6" s="3526" t="s">
        <v>2884</v>
      </c>
      <c r="J6" s="3527"/>
      <c r="K6" s="508" t="s">
        <v>522</v>
      </c>
      <c r="L6" s="2015"/>
      <c r="M6" s="2016"/>
      <c r="N6" s="2016"/>
      <c r="O6" s="2016"/>
      <c r="P6" s="3639"/>
      <c r="Q6" s="3519"/>
      <c r="R6" s="3522"/>
      <c r="S6" s="3523"/>
      <c r="T6" s="3524"/>
      <c r="U6" s="3525"/>
      <c r="V6" s="3507"/>
      <c r="W6" s="3507"/>
      <c r="X6" s="1502"/>
      <c r="Y6" s="3524"/>
      <c r="Z6" s="3525"/>
      <c r="AA6" s="3511"/>
      <c r="AB6" s="3511"/>
      <c r="AC6" s="3511"/>
    </row>
    <row r="7" spans="1:29" s="1203" customFormat="1" ht="15.75" thickBot="1">
      <c r="A7" s="2629"/>
      <c r="B7" s="2636" t="s">
        <v>523</v>
      </c>
      <c r="C7" s="513">
        <f>'数据-取费表'!B2</f>
        <v>44166</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1" t="s">
        <v>524</v>
      </c>
      <c r="Q7" s="3541"/>
      <c r="R7" s="1503" t="s">
        <v>8</v>
      </c>
      <c r="S7" s="1504">
        <f t="shared" ref="S7:S15" si="0">F7</f>
        <v>0</v>
      </c>
      <c r="T7" s="1503" t="s">
        <v>8</v>
      </c>
      <c r="U7" s="1504">
        <f t="shared" ref="U7:U15" si="1">H7</f>
        <v>0</v>
      </c>
      <c r="V7" s="1503" t="s">
        <v>8</v>
      </c>
      <c r="W7" s="1504">
        <f t="shared" ref="W7:W15" si="2">J7</f>
        <v>0</v>
      </c>
      <c r="X7" s="1505"/>
      <c r="Y7" s="3539" t="s">
        <v>524</v>
      </c>
      <c r="Z7" s="3540"/>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1" t="s">
        <v>527</v>
      </c>
      <c r="Q8" s="3540"/>
      <c r="R8" s="1503" t="s">
        <v>8</v>
      </c>
      <c r="S8" s="1504">
        <f t="shared" si="0"/>
        <v>0</v>
      </c>
      <c r="T8" s="1503" t="s">
        <v>8</v>
      </c>
      <c r="U8" s="1504">
        <f t="shared" si="1"/>
        <v>0</v>
      </c>
      <c r="V8" s="1503" t="s">
        <v>8</v>
      </c>
      <c r="W8" s="1504">
        <f t="shared" si="2"/>
        <v>0</v>
      </c>
      <c r="X8" s="1505"/>
      <c r="Y8" s="3539" t="s">
        <v>527</v>
      </c>
      <c r="Z8" s="3540"/>
      <c r="AA8" s="1506" t="e">
        <f t="shared" ref="AA8:AA47" si="3">D8/F8</f>
        <v>#DIV/0!</v>
      </c>
      <c r="AB8" s="1506" t="e">
        <f t="shared" ref="AB8:AB47" si="4">D8/H8</f>
        <v>#DIV/0!</v>
      </c>
      <c r="AC8" s="1506" t="e">
        <f t="shared" ref="AC8:AC47" si="5">D8/J8</f>
        <v>#DIV/0!</v>
      </c>
    </row>
    <row r="9" spans="1:29" s="1203" customFormat="1" ht="15">
      <c r="A9" s="2631"/>
      <c r="B9" s="2638" t="s">
        <v>2732</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06" t="s">
        <v>529</v>
      </c>
      <c r="Q9" s="1134" t="str">
        <f t="shared" ref="Q9:Q15" si="6">B9</f>
        <v>用途</v>
      </c>
      <c r="R9" s="1503" t="s">
        <v>8</v>
      </c>
      <c r="S9" s="1504">
        <f t="shared" si="0"/>
        <v>100</v>
      </c>
      <c r="T9" s="1503" t="s">
        <v>8</v>
      </c>
      <c r="U9" s="1504">
        <f t="shared" si="1"/>
        <v>100</v>
      </c>
      <c r="V9" s="1503" t="s">
        <v>8</v>
      </c>
      <c r="W9" s="1504">
        <f t="shared" si="2"/>
        <v>100</v>
      </c>
      <c r="X9" s="1505"/>
      <c r="Y9" s="3452" t="s">
        <v>530</v>
      </c>
      <c r="Z9" s="1133" t="str">
        <f t="shared" ref="Z9:Z15" si="7">Q9</f>
        <v>用途</v>
      </c>
      <c r="AA9" s="1506">
        <f t="shared" si="3"/>
        <v>1</v>
      </c>
      <c r="AB9" s="1506">
        <f t="shared" si="4"/>
        <v>1</v>
      </c>
      <c r="AC9" s="1506">
        <f t="shared" si="5"/>
        <v>1</v>
      </c>
    </row>
    <row r="10" spans="1:29" s="1292" customFormat="1" ht="27">
      <c r="A10" s="2632"/>
      <c r="B10" s="2637" t="s">
        <v>2733</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06"/>
      <c r="Q10" s="1134" t="str">
        <f t="shared" si="6"/>
        <v>土地使用年限（年）</v>
      </c>
      <c r="R10" s="1503" t="s">
        <v>8</v>
      </c>
      <c r="S10" s="1504">
        <f t="shared" si="0"/>
        <v>100</v>
      </c>
      <c r="T10" s="1503" t="s">
        <v>8</v>
      </c>
      <c r="U10" s="1504">
        <f t="shared" si="1"/>
        <v>100</v>
      </c>
      <c r="V10" s="1503" t="s">
        <v>8</v>
      </c>
      <c r="W10" s="1504">
        <f t="shared" si="2"/>
        <v>100</v>
      </c>
      <c r="X10" s="1505"/>
      <c r="Y10" s="3452"/>
      <c r="Z10" s="1133" t="str">
        <f t="shared" si="7"/>
        <v>土地使用年限（年）</v>
      </c>
      <c r="AA10" s="1506">
        <f t="shared" si="3"/>
        <v>1</v>
      </c>
      <c r="AB10" s="1506">
        <f t="shared" si="4"/>
        <v>1</v>
      </c>
      <c r="AC10" s="1506">
        <f t="shared" si="5"/>
        <v>1</v>
      </c>
    </row>
    <row r="11" spans="1:29" ht="15">
      <c r="A11" s="2633"/>
      <c r="B11" s="2637" t="s">
        <v>2734</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06"/>
      <c r="Q11" s="1134" t="str">
        <f t="shared" si="6"/>
        <v>容积率</v>
      </c>
      <c r="R11" s="1503" t="s">
        <v>8</v>
      </c>
      <c r="S11" s="1504" t="e">
        <f t="shared" si="0"/>
        <v>#N/A</v>
      </c>
      <c r="T11" s="1503" t="s">
        <v>8</v>
      </c>
      <c r="U11" s="1504" t="e">
        <f t="shared" si="1"/>
        <v>#N/A</v>
      </c>
      <c r="V11" s="1503" t="s">
        <v>8</v>
      </c>
      <c r="W11" s="1504" t="e">
        <f t="shared" si="2"/>
        <v>#N/A</v>
      </c>
      <c r="X11" s="1505"/>
      <c r="Y11" s="345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06"/>
      <c r="Q12" s="1134">
        <f t="shared" si="6"/>
        <v>111</v>
      </c>
      <c r="R12" s="1503" t="s">
        <v>8</v>
      </c>
      <c r="S12" s="1504">
        <f t="shared" si="0"/>
        <v>100</v>
      </c>
      <c r="T12" s="1503" t="s">
        <v>8</v>
      </c>
      <c r="U12" s="1504">
        <f t="shared" si="1"/>
        <v>100</v>
      </c>
      <c r="V12" s="1503" t="s">
        <v>8</v>
      </c>
      <c r="W12" s="1504">
        <f t="shared" si="2"/>
        <v>100</v>
      </c>
      <c r="X12" s="1505"/>
      <c r="Y12" s="3452"/>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06"/>
      <c r="Q13" s="1134">
        <f t="shared" si="6"/>
        <v>111</v>
      </c>
      <c r="R13" s="1503" t="s">
        <v>8</v>
      </c>
      <c r="S13" s="1504">
        <f t="shared" si="0"/>
        <v>100</v>
      </c>
      <c r="T13" s="1503" t="s">
        <v>8</v>
      </c>
      <c r="U13" s="1504">
        <f t="shared" si="1"/>
        <v>100</v>
      </c>
      <c r="V13" s="1503" t="s">
        <v>8</v>
      </c>
      <c r="W13" s="1504">
        <f t="shared" si="2"/>
        <v>100</v>
      </c>
      <c r="X13" s="1505"/>
      <c r="Y13" s="3452"/>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06"/>
      <c r="Q14" s="1134">
        <f t="shared" si="6"/>
        <v>111</v>
      </c>
      <c r="R14" s="1503" t="s">
        <v>8</v>
      </c>
      <c r="S14" s="1504">
        <f t="shared" si="0"/>
        <v>100</v>
      </c>
      <c r="T14" s="1503" t="s">
        <v>8</v>
      </c>
      <c r="U14" s="1504">
        <f t="shared" si="1"/>
        <v>100</v>
      </c>
      <c r="V14" s="1503" t="s">
        <v>8</v>
      </c>
      <c r="W14" s="1504">
        <f t="shared" si="2"/>
        <v>100</v>
      </c>
      <c r="X14" s="1505"/>
      <c r="Y14" s="3452"/>
      <c r="Z14" s="1133">
        <f t="shared" si="7"/>
        <v>111</v>
      </c>
      <c r="AA14" s="1506">
        <f t="shared" si="3"/>
        <v>1</v>
      </c>
      <c r="AB14" s="1506">
        <f t="shared" si="4"/>
        <v>1</v>
      </c>
      <c r="AC14" s="1506">
        <f t="shared" si="5"/>
        <v>1</v>
      </c>
    </row>
    <row r="15" spans="1:29" ht="15">
      <c r="A15" s="2627" t="s">
        <v>2730</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2" t="s">
        <v>534</v>
      </c>
      <c r="Q15" s="1507" t="str">
        <f t="shared" si="6"/>
        <v>办公集聚程度</v>
      </c>
      <c r="R15" s="1508" t="s">
        <v>8</v>
      </c>
      <c r="S15" s="1509">
        <f t="shared" si="0"/>
        <v>100</v>
      </c>
      <c r="T15" s="1508" t="s">
        <v>8</v>
      </c>
      <c r="U15" s="1509">
        <f t="shared" si="1"/>
        <v>100</v>
      </c>
      <c r="V15" s="1508" t="s">
        <v>8</v>
      </c>
      <c r="W15" s="1509">
        <f t="shared" si="2"/>
        <v>100</v>
      </c>
      <c r="X15" s="1502"/>
      <c r="Y15" s="3542"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43"/>
      <c r="Q16" s="1507"/>
      <c r="R16" s="1508"/>
      <c r="S16" s="1509"/>
      <c r="T16" s="1508"/>
      <c r="U16" s="1509"/>
      <c r="V16" s="1508"/>
      <c r="W16" s="1509"/>
      <c r="X16" s="1502"/>
      <c r="Y16" s="3543"/>
      <c r="Z16" s="1510"/>
      <c r="AA16" s="1511">
        <v>1</v>
      </c>
      <c r="AB16" s="1511">
        <v>1</v>
      </c>
      <c r="AC16" s="1511">
        <v>1</v>
      </c>
    </row>
    <row r="17" spans="1:29" ht="15">
      <c r="A17" s="526"/>
      <c r="B17" s="554" t="s">
        <v>296</v>
      </c>
      <c r="C17" s="567" t="str">
        <f>估价对象房地状况!C6</f>
        <v>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3"/>
      <c r="Q17" s="1507" t="str">
        <f>B17</f>
        <v>交通便捷度</v>
      </c>
      <c r="R17" s="1508" t="s">
        <v>8</v>
      </c>
      <c r="S17" s="1509">
        <f>F17</f>
        <v>100</v>
      </c>
      <c r="T17" s="1508" t="s">
        <v>8</v>
      </c>
      <c r="U17" s="1509">
        <f>H17</f>
        <v>100</v>
      </c>
      <c r="V17" s="1508" t="s">
        <v>8</v>
      </c>
      <c r="W17" s="1509">
        <f>J17</f>
        <v>100</v>
      </c>
      <c r="X17" s="1502"/>
      <c r="Y17" s="3543"/>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43"/>
      <c r="Q18" s="1507"/>
      <c r="R18" s="1508"/>
      <c r="S18" s="1509"/>
      <c r="T18" s="1508"/>
      <c r="U18" s="1509"/>
      <c r="V18" s="1508"/>
      <c r="W18" s="1509"/>
      <c r="X18" s="1502"/>
      <c r="Y18" s="3543"/>
      <c r="Z18" s="1510"/>
      <c r="AA18" s="1511">
        <v>1</v>
      </c>
      <c r="AB18" s="1511">
        <v>1</v>
      </c>
      <c r="AC18" s="1511">
        <v>1</v>
      </c>
    </row>
    <row r="19" spans="1:29" ht="15">
      <c r="A19" s="526"/>
      <c r="B19" s="2447" t="s">
        <v>2523</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3"/>
      <c r="Q19" s="1507" t="str">
        <f>B19</f>
        <v>公共配套设施</v>
      </c>
      <c r="R19" s="1508" t="s">
        <v>8</v>
      </c>
      <c r="S19" s="1509">
        <f>F19</f>
        <v>100</v>
      </c>
      <c r="T19" s="1508" t="s">
        <v>8</v>
      </c>
      <c r="U19" s="1509">
        <f>H19</f>
        <v>100</v>
      </c>
      <c r="V19" s="1508" t="s">
        <v>8</v>
      </c>
      <c r="W19" s="1509">
        <f>J19</f>
        <v>100</v>
      </c>
      <c r="X19" s="1502"/>
      <c r="Y19" s="3543"/>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43"/>
      <c r="Q20" s="1507"/>
      <c r="R20" s="1508"/>
      <c r="S20" s="1509"/>
      <c r="T20" s="1508"/>
      <c r="U20" s="1509"/>
      <c r="V20" s="1508"/>
      <c r="W20" s="1509"/>
      <c r="X20" s="1502"/>
      <c r="Y20" s="3543"/>
      <c r="Z20" s="1510"/>
      <c r="AA20" s="1511">
        <v>1</v>
      </c>
      <c r="AB20" s="1511">
        <v>1</v>
      </c>
      <c r="AC20" s="1511">
        <v>1</v>
      </c>
    </row>
    <row r="21" spans="1:29" ht="15">
      <c r="A21" s="526"/>
      <c r="B21" s="2435" t="s">
        <v>2535</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3"/>
      <c r="Q21" s="2429" t="str">
        <f>B21</f>
        <v>基础设施水平</v>
      </c>
      <c r="R21" s="1508" t="s">
        <v>8</v>
      </c>
      <c r="S21" s="1509">
        <f>F21</f>
        <v>100</v>
      </c>
      <c r="T21" s="1508" t="s">
        <v>8</v>
      </c>
      <c r="U21" s="1509">
        <f>H21</f>
        <v>100</v>
      </c>
      <c r="V21" s="1508" t="s">
        <v>8</v>
      </c>
      <c r="W21" s="1509">
        <f>J21</f>
        <v>100</v>
      </c>
      <c r="X21" s="2431"/>
      <c r="Y21" s="3543"/>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43"/>
      <c r="Q22" s="2429"/>
      <c r="R22" s="1508"/>
      <c r="S22" s="1509"/>
      <c r="T22" s="1508"/>
      <c r="U22" s="1509"/>
      <c r="V22" s="1508"/>
      <c r="W22" s="1509"/>
      <c r="X22" s="2431"/>
      <c r="Y22" s="3543"/>
      <c r="Z22" s="2430"/>
      <c r="AA22" s="1511">
        <v>1</v>
      </c>
      <c r="AB22" s="1511">
        <v>1</v>
      </c>
      <c r="AC22" s="1511">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3"/>
      <c r="Q23" s="1507" t="str">
        <f>B23</f>
        <v>环境质量</v>
      </c>
      <c r="R23" s="1508" t="s">
        <v>8</v>
      </c>
      <c r="S23" s="1509">
        <f>F23</f>
        <v>100</v>
      </c>
      <c r="T23" s="1508" t="s">
        <v>8</v>
      </c>
      <c r="U23" s="1509">
        <f>H23</f>
        <v>100</v>
      </c>
      <c r="V23" s="1508" t="s">
        <v>8</v>
      </c>
      <c r="W23" s="1509">
        <f>J23</f>
        <v>100</v>
      </c>
      <c r="X23" s="1502"/>
      <c r="Y23" s="3543"/>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43"/>
      <c r="Q24" s="1507"/>
      <c r="R24" s="1508"/>
      <c r="S24" s="1509"/>
      <c r="T24" s="1508"/>
      <c r="U24" s="1509"/>
      <c r="V24" s="1508"/>
      <c r="W24" s="1509"/>
      <c r="X24" s="1502"/>
      <c r="Y24" s="3543"/>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3"/>
      <c r="Q25" s="1507" t="str">
        <f>B25</f>
        <v>毗邻道路的类型与等级</v>
      </c>
      <c r="R25" s="1508" t="s">
        <v>8</v>
      </c>
      <c r="S25" s="1509">
        <f>F25</f>
        <v>100</v>
      </c>
      <c r="T25" s="1508" t="s">
        <v>8</v>
      </c>
      <c r="U25" s="1509">
        <f>H25</f>
        <v>100</v>
      </c>
      <c r="V25" s="1508" t="s">
        <v>8</v>
      </c>
      <c r="W25" s="1509">
        <f>J25</f>
        <v>100</v>
      </c>
      <c r="X25" s="1502"/>
      <c r="Y25" s="3543"/>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43"/>
      <c r="Q26" s="1507"/>
      <c r="R26" s="1508"/>
      <c r="S26" s="1509"/>
      <c r="T26" s="1508"/>
      <c r="U26" s="1509"/>
      <c r="V26" s="1508"/>
      <c r="W26" s="1509"/>
      <c r="X26" s="1502"/>
      <c r="Y26" s="3543"/>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3"/>
      <c r="Q27" s="1507" t="str">
        <f t="shared" ref="Q27:Q47" si="11">B27</f>
        <v>楼层</v>
      </c>
      <c r="R27" s="1508" t="s">
        <v>8</v>
      </c>
      <c r="S27" s="1509">
        <f>F27</f>
        <v>100</v>
      </c>
      <c r="T27" s="1508" t="s">
        <v>8</v>
      </c>
      <c r="U27" s="1509">
        <f>H27</f>
        <v>100</v>
      </c>
      <c r="V27" s="1508" t="s">
        <v>8</v>
      </c>
      <c r="W27" s="1509">
        <f>J27</f>
        <v>100</v>
      </c>
      <c r="X27" s="1502"/>
      <c r="Y27" s="3543"/>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3"/>
      <c r="Q28" s="1134" t="str">
        <f t="shared" si="11"/>
        <v>朝向</v>
      </c>
      <c r="R28" s="1503" t="s">
        <v>8</v>
      </c>
      <c r="S28" s="1504">
        <f>F28</f>
        <v>100</v>
      </c>
      <c r="T28" s="1503" t="s">
        <v>8</v>
      </c>
      <c r="U28" s="1504">
        <f>H28</f>
        <v>100</v>
      </c>
      <c r="V28" s="1503" t="s">
        <v>8</v>
      </c>
      <c r="W28" s="1504">
        <f>J28</f>
        <v>100</v>
      </c>
      <c r="X28" s="1505"/>
      <c r="Y28" s="3543"/>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3"/>
      <c r="Q29" s="1507">
        <f t="shared" si="11"/>
        <v>111</v>
      </c>
      <c r="R29" s="1508" t="s">
        <v>8</v>
      </c>
      <c r="S29" s="1509">
        <f t="shared" ref="S29:S47" si="12">F29</f>
        <v>100</v>
      </c>
      <c r="T29" s="1508" t="s">
        <v>8</v>
      </c>
      <c r="U29" s="1509">
        <f t="shared" ref="U29:U47" si="13">H29</f>
        <v>100</v>
      </c>
      <c r="V29" s="1508" t="s">
        <v>8</v>
      </c>
      <c r="W29" s="1509">
        <f t="shared" ref="W29:W47" si="14">J29</f>
        <v>100</v>
      </c>
      <c r="X29" s="1502"/>
      <c r="Y29" s="3543"/>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3"/>
      <c r="Q30" s="1507">
        <f t="shared" si="11"/>
        <v>111</v>
      </c>
      <c r="R30" s="1508" t="s">
        <v>8</v>
      </c>
      <c r="S30" s="1509">
        <f t="shared" si="12"/>
        <v>100</v>
      </c>
      <c r="T30" s="1508" t="s">
        <v>8</v>
      </c>
      <c r="U30" s="1509">
        <f t="shared" si="13"/>
        <v>100</v>
      </c>
      <c r="V30" s="1508" t="s">
        <v>8</v>
      </c>
      <c r="W30" s="1509">
        <f t="shared" si="14"/>
        <v>100</v>
      </c>
      <c r="X30" s="1502"/>
      <c r="Y30" s="3543"/>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3"/>
      <c r="Q31" s="1507">
        <f t="shared" si="11"/>
        <v>111</v>
      </c>
      <c r="R31" s="1508" t="s">
        <v>8</v>
      </c>
      <c r="S31" s="1509">
        <f t="shared" si="12"/>
        <v>100</v>
      </c>
      <c r="T31" s="1508" t="s">
        <v>8</v>
      </c>
      <c r="U31" s="1509">
        <f t="shared" si="13"/>
        <v>100</v>
      </c>
      <c r="V31" s="1508" t="s">
        <v>8</v>
      </c>
      <c r="W31" s="1509">
        <f t="shared" si="14"/>
        <v>100</v>
      </c>
      <c r="X31" s="1502"/>
      <c r="Y31" s="3543"/>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3"/>
      <c r="Q32" s="1507">
        <f t="shared" si="11"/>
        <v>111</v>
      </c>
      <c r="R32" s="1508" t="s">
        <v>8</v>
      </c>
      <c r="S32" s="1509">
        <f t="shared" si="12"/>
        <v>100</v>
      </c>
      <c r="T32" s="1508" t="s">
        <v>8</v>
      </c>
      <c r="U32" s="1509">
        <f t="shared" si="13"/>
        <v>100</v>
      </c>
      <c r="V32" s="1508" t="s">
        <v>8</v>
      </c>
      <c r="W32" s="1509">
        <f t="shared" si="14"/>
        <v>100</v>
      </c>
      <c r="X32" s="1502"/>
      <c r="Y32" s="3543"/>
      <c r="Z32" s="1510">
        <f t="shared" si="15"/>
        <v>111</v>
      </c>
      <c r="AA32" s="1511">
        <f t="shared" si="3"/>
        <v>1</v>
      </c>
      <c r="AB32" s="1511">
        <f t="shared" si="4"/>
        <v>1</v>
      </c>
      <c r="AC32" s="1511">
        <f t="shared" si="5"/>
        <v>1</v>
      </c>
    </row>
    <row r="33" spans="1:29" ht="15">
      <c r="A33" s="2624" t="s">
        <v>2731</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44" t="s">
        <v>544</v>
      </c>
      <c r="Q33" s="1507" t="str">
        <f t="shared" si="11"/>
        <v>建筑类型</v>
      </c>
      <c r="R33" s="1508" t="s">
        <v>8</v>
      </c>
      <c r="S33" s="1509">
        <f t="shared" si="12"/>
        <v>100</v>
      </c>
      <c r="T33" s="1508" t="s">
        <v>8</v>
      </c>
      <c r="U33" s="1509">
        <f t="shared" si="13"/>
        <v>100</v>
      </c>
      <c r="V33" s="1508" t="s">
        <v>8</v>
      </c>
      <c r="W33" s="1509">
        <f t="shared" si="14"/>
        <v>100</v>
      </c>
      <c r="X33" s="1502"/>
      <c r="Y33" s="3545"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5"/>
      <c r="Q34" s="1536" t="str">
        <f t="shared" si="11"/>
        <v>项目建筑规模</v>
      </c>
      <c r="R34" s="1512" t="s">
        <v>8</v>
      </c>
      <c r="S34" s="1513" t="e">
        <f t="shared" si="12"/>
        <v>#N/A</v>
      </c>
      <c r="T34" s="1512" t="s">
        <v>8</v>
      </c>
      <c r="U34" s="1513" t="e">
        <f t="shared" si="13"/>
        <v>#N/A</v>
      </c>
      <c r="V34" s="1512" t="s">
        <v>8</v>
      </c>
      <c r="W34" s="1513" t="e">
        <f t="shared" si="14"/>
        <v>#N/A</v>
      </c>
      <c r="X34" s="1514"/>
      <c r="Y34" s="3545"/>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5"/>
      <c r="Q35" s="1507" t="str">
        <f t="shared" si="11"/>
        <v>建筑结构</v>
      </c>
      <c r="R35" s="1508" t="s">
        <v>8</v>
      </c>
      <c r="S35" s="1509">
        <f t="shared" si="12"/>
        <v>100</v>
      </c>
      <c r="T35" s="1508" t="s">
        <v>8</v>
      </c>
      <c r="U35" s="1509">
        <f t="shared" si="13"/>
        <v>100</v>
      </c>
      <c r="V35" s="1508" t="s">
        <v>8</v>
      </c>
      <c r="W35" s="1509">
        <f t="shared" si="14"/>
        <v>100</v>
      </c>
      <c r="X35" s="1502"/>
      <c r="Y35" s="3545"/>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5"/>
      <c r="Q36" s="1507" t="str">
        <f t="shared" si="11"/>
        <v>公共部分装修</v>
      </c>
      <c r="R36" s="1508" t="s">
        <v>8</v>
      </c>
      <c r="S36" s="1509">
        <f t="shared" si="12"/>
        <v>100</v>
      </c>
      <c r="T36" s="1508" t="s">
        <v>8</v>
      </c>
      <c r="U36" s="1509">
        <f t="shared" si="13"/>
        <v>100</v>
      </c>
      <c r="V36" s="1508" t="s">
        <v>8</v>
      </c>
      <c r="W36" s="1509">
        <f t="shared" si="14"/>
        <v>100</v>
      </c>
      <c r="X36" s="1502"/>
      <c r="Y36" s="3545"/>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45"/>
      <c r="Q37" s="1507" t="str">
        <f t="shared" si="11"/>
        <v>成新度</v>
      </c>
      <c r="R37" s="1508" t="s">
        <v>8</v>
      </c>
      <c r="S37" s="1509" t="e">
        <f t="shared" si="12"/>
        <v>#N/A</v>
      </c>
      <c r="T37" s="1508" t="s">
        <v>8</v>
      </c>
      <c r="U37" s="1509" t="e">
        <f t="shared" si="13"/>
        <v>#N/A</v>
      </c>
      <c r="V37" s="1508" t="s">
        <v>8</v>
      </c>
      <c r="W37" s="1509" t="e">
        <f t="shared" si="14"/>
        <v>#N/A</v>
      </c>
      <c r="X37" s="1502"/>
      <c r="Y37" s="3545"/>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5"/>
      <c r="Q38" s="1134" t="str">
        <f t="shared" si="11"/>
        <v>写字楼等级</v>
      </c>
      <c r="R38" s="1503" t="s">
        <v>8</v>
      </c>
      <c r="S38" s="1504">
        <f t="shared" si="12"/>
        <v>100</v>
      </c>
      <c r="T38" s="1503" t="s">
        <v>8</v>
      </c>
      <c r="U38" s="1504">
        <f t="shared" si="13"/>
        <v>100</v>
      </c>
      <c r="V38" s="1503" t="s">
        <v>8</v>
      </c>
      <c r="W38" s="1504">
        <f t="shared" si="14"/>
        <v>100</v>
      </c>
      <c r="X38" s="1505"/>
      <c r="Y38" s="3545"/>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5" t="s">
        <v>544</v>
      </c>
      <c r="Q39" s="1507" t="str">
        <f t="shared" si="11"/>
        <v>物业管理</v>
      </c>
      <c r="R39" s="1508" t="s">
        <v>8</v>
      </c>
      <c r="S39" s="1509">
        <f t="shared" si="12"/>
        <v>100</v>
      </c>
      <c r="T39" s="1508" t="s">
        <v>8</v>
      </c>
      <c r="U39" s="1509">
        <f t="shared" si="13"/>
        <v>100</v>
      </c>
      <c r="V39" s="1508" t="s">
        <v>8</v>
      </c>
      <c r="W39" s="1509">
        <f t="shared" si="14"/>
        <v>100</v>
      </c>
      <c r="X39" s="1502"/>
      <c r="Y39" s="3545" t="s">
        <v>544</v>
      </c>
      <c r="Z39" s="1510" t="str">
        <f t="shared" si="15"/>
        <v>物业管理</v>
      </c>
      <c r="AA39" s="1511">
        <f t="shared" si="3"/>
        <v>1</v>
      </c>
      <c r="AB39" s="1511">
        <f t="shared" si="4"/>
        <v>1</v>
      </c>
      <c r="AC39" s="1511">
        <f t="shared" si="5"/>
        <v>1</v>
      </c>
    </row>
    <row r="40" spans="1:29" ht="15">
      <c r="A40" s="588"/>
      <c r="B40" s="1809" t="s">
        <v>2542</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5"/>
      <c r="Q40" s="1507" t="str">
        <f t="shared" si="11"/>
        <v>市政基础设施</v>
      </c>
      <c r="R40" s="1508" t="s">
        <v>8</v>
      </c>
      <c r="S40" s="1509">
        <f t="shared" si="12"/>
        <v>100</v>
      </c>
      <c r="T40" s="1508" t="s">
        <v>8</v>
      </c>
      <c r="U40" s="1509">
        <f t="shared" si="13"/>
        <v>100</v>
      </c>
      <c r="V40" s="1508" t="s">
        <v>8</v>
      </c>
      <c r="W40" s="1509">
        <f t="shared" si="14"/>
        <v>100</v>
      </c>
      <c r="X40" s="1502"/>
      <c r="Y40" s="3545"/>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5"/>
      <c r="Q41" s="1507" t="str">
        <f t="shared" si="11"/>
        <v>层高</v>
      </c>
      <c r="R41" s="1508" t="s">
        <v>8</v>
      </c>
      <c r="S41" s="1509">
        <f t="shared" si="12"/>
        <v>100</v>
      </c>
      <c r="T41" s="1508" t="s">
        <v>8</v>
      </c>
      <c r="U41" s="1509">
        <f t="shared" si="13"/>
        <v>100</v>
      </c>
      <c r="V41" s="1508" t="s">
        <v>8</v>
      </c>
      <c r="W41" s="1509">
        <f t="shared" si="14"/>
        <v>100</v>
      </c>
      <c r="X41" s="1502"/>
      <c r="Y41" s="3545"/>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5"/>
      <c r="Q42" s="1536" t="str">
        <f t="shared" si="11"/>
        <v>单套建筑面积</v>
      </c>
      <c r="R42" s="1512" t="s">
        <v>8</v>
      </c>
      <c r="S42" s="1513">
        <f t="shared" si="12"/>
        <v>100</v>
      </c>
      <c r="T42" s="1512" t="s">
        <v>8</v>
      </c>
      <c r="U42" s="1513">
        <f t="shared" si="13"/>
        <v>100</v>
      </c>
      <c r="V42" s="1512" t="s">
        <v>8</v>
      </c>
      <c r="W42" s="1513">
        <f t="shared" si="14"/>
        <v>100</v>
      </c>
      <c r="X42" s="1514"/>
      <c r="Y42" s="3545"/>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5"/>
      <c r="Q43" s="1507" t="str">
        <f t="shared" si="11"/>
        <v>内部装修</v>
      </c>
      <c r="R43" s="1508" t="s">
        <v>8</v>
      </c>
      <c r="S43" s="1509">
        <f t="shared" si="12"/>
        <v>100</v>
      </c>
      <c r="T43" s="1508" t="s">
        <v>8</v>
      </c>
      <c r="U43" s="1509">
        <f t="shared" si="13"/>
        <v>100</v>
      </c>
      <c r="V43" s="1508" t="s">
        <v>8</v>
      </c>
      <c r="W43" s="1509">
        <f t="shared" si="14"/>
        <v>100</v>
      </c>
      <c r="X43" s="1502"/>
      <c r="Y43" s="3545"/>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5"/>
      <c r="Q44" s="1507" t="str">
        <f t="shared" si="11"/>
        <v>内部装修维护情况</v>
      </c>
      <c r="R44" s="1508" t="s">
        <v>8</v>
      </c>
      <c r="S44" s="1509">
        <f t="shared" si="12"/>
        <v>100</v>
      </c>
      <c r="T44" s="1508" t="s">
        <v>8</v>
      </c>
      <c r="U44" s="1509">
        <f t="shared" si="13"/>
        <v>100</v>
      </c>
      <c r="V44" s="1508" t="s">
        <v>8</v>
      </c>
      <c r="W44" s="1509">
        <f t="shared" si="14"/>
        <v>100</v>
      </c>
      <c r="X44" s="1502"/>
      <c r="Y44" s="3545"/>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5"/>
      <c r="Q45" s="1134">
        <f t="shared" si="11"/>
        <v>111</v>
      </c>
      <c r="R45" s="1503" t="s">
        <v>8</v>
      </c>
      <c r="S45" s="1504">
        <f t="shared" si="12"/>
        <v>100</v>
      </c>
      <c r="T45" s="1503" t="s">
        <v>8</v>
      </c>
      <c r="U45" s="1504">
        <f t="shared" si="13"/>
        <v>100</v>
      </c>
      <c r="V45" s="1503" t="s">
        <v>8</v>
      </c>
      <c r="W45" s="1504">
        <f t="shared" si="14"/>
        <v>100</v>
      </c>
      <c r="X45" s="1505"/>
      <c r="Y45" s="3545"/>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5"/>
      <c r="Q46" s="1507">
        <f t="shared" si="11"/>
        <v>111</v>
      </c>
      <c r="R46" s="1508" t="s">
        <v>8</v>
      </c>
      <c r="S46" s="1509">
        <f t="shared" si="12"/>
        <v>100</v>
      </c>
      <c r="T46" s="1508" t="s">
        <v>8</v>
      </c>
      <c r="U46" s="1509">
        <f t="shared" si="13"/>
        <v>100</v>
      </c>
      <c r="V46" s="1508" t="s">
        <v>8</v>
      </c>
      <c r="W46" s="1509">
        <f t="shared" si="14"/>
        <v>100</v>
      </c>
      <c r="X46" s="1502"/>
      <c r="Y46" s="3545"/>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27"/>
      <c r="Q47" s="1507">
        <f t="shared" si="11"/>
        <v>111</v>
      </c>
      <c r="R47" s="1508" t="s">
        <v>8</v>
      </c>
      <c r="S47" s="1509">
        <f t="shared" si="12"/>
        <v>100</v>
      </c>
      <c r="T47" s="1508" t="s">
        <v>8</v>
      </c>
      <c r="U47" s="1509">
        <f t="shared" si="13"/>
        <v>100</v>
      </c>
      <c r="V47" s="1508" t="s">
        <v>8</v>
      </c>
      <c r="W47" s="1509">
        <f t="shared" si="14"/>
        <v>100</v>
      </c>
      <c r="X47" s="1502"/>
      <c r="Y47" s="3627"/>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04" t="str">
        <f>A48</f>
        <v>成交单价（元/平方米）</v>
      </c>
      <c r="Q48" s="3506"/>
      <c r="R48" s="3626">
        <f>E48</f>
        <v>0</v>
      </c>
      <c r="S48" s="3626"/>
      <c r="T48" s="3626">
        <f>G48</f>
        <v>0</v>
      </c>
      <c r="U48" s="3626"/>
      <c r="V48" s="3626">
        <f>I48</f>
        <v>0</v>
      </c>
      <c r="W48" s="3626"/>
      <c r="X48" s="1497"/>
      <c r="Y48" s="1516"/>
      <c r="Z48" s="1497"/>
      <c r="AA48" s="1497"/>
      <c r="AB48" s="1497"/>
      <c r="AC48" s="1497"/>
    </row>
    <row r="49" spans="1:29" ht="15.75" thickBot="1">
      <c r="A49" s="609" t="s">
        <v>2736</v>
      </c>
      <c r="B49" s="877"/>
      <c r="C49" s="2476" t="e">
        <f>R50</f>
        <v>#DIV/0!</v>
      </c>
      <c r="D49" s="3014" t="s">
        <v>2954</v>
      </c>
      <c r="E49" s="2477" t="e">
        <f>R49</f>
        <v>#DIV/0!</v>
      </c>
      <c r="F49" s="3015"/>
      <c r="G49" s="2476" t="e">
        <f>T49</f>
        <v>#DIV/0!</v>
      </c>
      <c r="H49" s="3015"/>
      <c r="I49" s="2477" t="e">
        <f>V49</f>
        <v>#DIV/0!</v>
      </c>
      <c r="J49" s="3015"/>
      <c r="K49" s="3023">
        <f>F49+H49+J49</f>
        <v>0</v>
      </c>
      <c r="L49" s="2026"/>
      <c r="M49" s="2016"/>
      <c r="N49" s="2016"/>
      <c r="O49" s="2016"/>
      <c r="P49" s="3504" t="str">
        <f>A49</f>
        <v>比较价格（元/平方米）</v>
      </c>
      <c r="Q49" s="3506"/>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1497"/>
      <c r="Y49" s="1497"/>
      <c r="Z49" s="1497"/>
      <c r="AA49" s="1497"/>
      <c r="AB49" s="1497"/>
      <c r="AC49" s="1497"/>
    </row>
    <row r="50" spans="1:29" ht="15.75" thickBot="1">
      <c r="A50" s="613" t="s">
        <v>2886</v>
      </c>
      <c r="B50" s="614"/>
      <c r="C50" s="2478" t="e">
        <f>R50</f>
        <v>#DIV/0!</v>
      </c>
      <c r="D50" s="2478"/>
      <c r="E50" s="2478"/>
      <c r="F50" s="2478"/>
      <c r="G50" s="2478"/>
      <c r="H50" s="2478"/>
      <c r="I50" s="2478"/>
      <c r="J50" s="2478"/>
      <c r="K50" s="1542"/>
      <c r="L50" s="2026"/>
      <c r="M50" s="2016"/>
      <c r="N50" s="2016"/>
      <c r="O50" s="2016"/>
      <c r="P50" s="3636" t="str">
        <f>A50</f>
        <v>估价对象XX用房的比较价格（楼面单价，元/平方米）</v>
      </c>
      <c r="Q50" s="3504"/>
      <c r="R50" s="3625" t="e">
        <f>IF(F1="售价",ROUND(IF(D49="简单平均",AVERAGE(R49:V49),R49*F49+T49*H49+V49*J49),0),ROUND(IF(D49="简单平均",AVERAGE(R49:V49),R49*F49+T49*H49+V49*J49),1))</f>
        <v>#DIV/0!</v>
      </c>
      <c r="S50" s="3625"/>
      <c r="T50" s="3625"/>
      <c r="U50" s="3625"/>
      <c r="V50" s="3625"/>
      <c r="W50" s="3625"/>
      <c r="X50" s="1497"/>
      <c r="Y50" s="1497"/>
      <c r="Z50" s="1497"/>
      <c r="AA50" s="1497"/>
      <c r="AB50" s="1497"/>
      <c r="AC50" s="1497"/>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2020-12</v>
      </c>
      <c r="D59" s="2521">
        <f>EDATE(C59,-1)</f>
        <v>44136</v>
      </c>
      <c r="E59" s="2521">
        <f t="shared" ref="E59:O59" si="16">EDATE(D59,-1)</f>
        <v>44105</v>
      </c>
      <c r="F59" s="2521">
        <f t="shared" si="16"/>
        <v>44075</v>
      </c>
      <c r="G59" s="2521">
        <f t="shared" si="16"/>
        <v>44044</v>
      </c>
      <c r="H59" s="2521">
        <f t="shared" si="16"/>
        <v>44013</v>
      </c>
      <c r="I59" s="2521">
        <f t="shared" si="16"/>
        <v>43983</v>
      </c>
      <c r="J59" s="2521">
        <f t="shared" si="16"/>
        <v>43952</v>
      </c>
      <c r="K59" s="2521">
        <f t="shared" si="16"/>
        <v>43922</v>
      </c>
      <c r="L59" s="2521">
        <f t="shared" si="16"/>
        <v>43891</v>
      </c>
      <c r="M59" s="2521">
        <f t="shared" si="16"/>
        <v>43862</v>
      </c>
      <c r="N59" s="2521">
        <f t="shared" si="16"/>
        <v>43831</v>
      </c>
      <c r="O59" s="2521">
        <f t="shared" si="16"/>
        <v>43800</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2534</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2535</v>
      </c>
      <c r="C83" s="2442" t="s">
        <v>2536</v>
      </c>
      <c r="D83" s="2442" t="s">
        <v>2537</v>
      </c>
      <c r="E83" s="2442" t="s">
        <v>2538</v>
      </c>
      <c r="F83" s="2442" t="s">
        <v>2539</v>
      </c>
      <c r="G83" s="2442" t="s">
        <v>2540</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2533</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9"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07"/>
      <c r="M1" s="3208"/>
      <c r="N1" s="3208"/>
      <c r="O1" s="3208"/>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515</v>
      </c>
      <c r="B4" s="507"/>
      <c r="C4" s="3512" t="s">
        <v>516</v>
      </c>
      <c r="D4" s="3513"/>
      <c r="E4" s="3548" t="s">
        <v>517</v>
      </c>
      <c r="F4" s="3549"/>
      <c r="G4" s="3512" t="s">
        <v>518</v>
      </c>
      <c r="H4" s="3513"/>
      <c r="I4" s="3512" t="s">
        <v>519</v>
      </c>
      <c r="J4" s="3513"/>
      <c r="K4" s="508" t="s">
        <v>520</v>
      </c>
      <c r="L4" s="2015"/>
      <c r="M4" s="2016"/>
      <c r="N4" s="2016"/>
      <c r="O4" s="2016"/>
      <c r="P4" s="3514" t="s">
        <v>521</v>
      </c>
      <c r="Q4" s="3515"/>
      <c r="R4" s="3520" t="s">
        <v>517</v>
      </c>
      <c r="S4" s="3521"/>
      <c r="T4" s="3520" t="s">
        <v>518</v>
      </c>
      <c r="U4" s="3521"/>
      <c r="V4" s="3507" t="s">
        <v>519</v>
      </c>
      <c r="W4" s="3507"/>
      <c r="X4" s="1502"/>
      <c r="Y4" s="3520" t="s">
        <v>521</v>
      </c>
      <c r="Z4" s="3521"/>
      <c r="AA4" s="3509" t="s">
        <v>517</v>
      </c>
      <c r="AB4" s="3510" t="s">
        <v>518</v>
      </c>
      <c r="AC4" s="3509" t="s">
        <v>519</v>
      </c>
    </row>
    <row r="5" spans="1:29" ht="15">
      <c r="A5" s="509"/>
      <c r="B5" s="510"/>
      <c r="C5" s="3528" t="s">
        <v>2880</v>
      </c>
      <c r="D5" s="3529"/>
      <c r="E5" s="3550" t="s">
        <v>2881</v>
      </c>
      <c r="F5" s="3551"/>
      <c r="G5" s="3528" t="s">
        <v>2882</v>
      </c>
      <c r="H5" s="3529"/>
      <c r="I5" s="3528" t="s">
        <v>2883</v>
      </c>
      <c r="J5" s="3529"/>
      <c r="K5" s="508"/>
      <c r="L5" s="2015"/>
      <c r="M5" s="2016"/>
      <c r="N5" s="2016"/>
      <c r="O5" s="2016"/>
      <c r="P5" s="3516"/>
      <c r="Q5" s="3517"/>
      <c r="R5" s="3522"/>
      <c r="S5" s="3523"/>
      <c r="T5" s="3522"/>
      <c r="U5" s="3523"/>
      <c r="V5" s="3507"/>
      <c r="W5" s="3507"/>
      <c r="X5" s="1502"/>
      <c r="Y5" s="3522"/>
      <c r="Z5" s="3523"/>
      <c r="AA5" s="3510"/>
      <c r="AB5" s="3510"/>
      <c r="AC5" s="3510"/>
    </row>
    <row r="6" spans="1:29" ht="15.75" thickBot="1">
      <c r="A6" s="511"/>
      <c r="B6" s="512"/>
      <c r="C6" s="3526" t="s">
        <v>2884</v>
      </c>
      <c r="D6" s="3527"/>
      <c r="E6" s="3546" t="s">
        <v>2884</v>
      </c>
      <c r="F6" s="3547"/>
      <c r="G6" s="3526" t="s">
        <v>2884</v>
      </c>
      <c r="H6" s="3527"/>
      <c r="I6" s="3526" t="s">
        <v>2884</v>
      </c>
      <c r="J6" s="3527"/>
      <c r="K6" s="508" t="s">
        <v>522</v>
      </c>
      <c r="L6" s="2015"/>
      <c r="M6" s="2016"/>
      <c r="N6" s="2016"/>
      <c r="O6" s="2016"/>
      <c r="P6" s="3518"/>
      <c r="Q6" s="3519"/>
      <c r="R6" s="3522"/>
      <c r="S6" s="3523"/>
      <c r="T6" s="3524"/>
      <c r="U6" s="3525"/>
      <c r="V6" s="3507"/>
      <c r="W6" s="3507"/>
      <c r="X6" s="1502"/>
      <c r="Y6" s="3524"/>
      <c r="Z6" s="3525"/>
      <c r="AA6" s="3511"/>
      <c r="AB6" s="3511"/>
      <c r="AC6" s="3511"/>
    </row>
    <row r="7" spans="1:29" s="1203" customFormat="1" ht="15.75" thickBot="1">
      <c r="A7" s="2629"/>
      <c r="B7" s="2636" t="s">
        <v>523</v>
      </c>
      <c r="C7" s="513">
        <f>'数据-取费表'!B2</f>
        <v>44166</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39" t="s">
        <v>524</v>
      </c>
      <c r="Q7" s="3541"/>
      <c r="R7" s="1503" t="s">
        <v>8</v>
      </c>
      <c r="S7" s="1504">
        <f t="shared" ref="S7:S15" si="0">F7</f>
        <v>0</v>
      </c>
      <c r="T7" s="1503" t="s">
        <v>8</v>
      </c>
      <c r="U7" s="1504">
        <f t="shared" ref="U7:U15" si="1">H7</f>
        <v>0</v>
      </c>
      <c r="V7" s="1503" t="s">
        <v>8</v>
      </c>
      <c r="W7" s="1504">
        <f t="shared" ref="W7:W15" si="2">J7</f>
        <v>0</v>
      </c>
      <c r="X7" s="1505"/>
      <c r="Y7" s="3539" t="s">
        <v>524</v>
      </c>
      <c r="Z7" s="3540"/>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39" t="s">
        <v>527</v>
      </c>
      <c r="Q8" s="3540"/>
      <c r="R8" s="1503" t="s">
        <v>8</v>
      </c>
      <c r="S8" s="1504">
        <f t="shared" si="0"/>
        <v>0</v>
      </c>
      <c r="T8" s="1503" t="s">
        <v>8</v>
      </c>
      <c r="U8" s="1504">
        <f t="shared" si="1"/>
        <v>0</v>
      </c>
      <c r="V8" s="1503" t="s">
        <v>8</v>
      </c>
      <c r="W8" s="1504">
        <f t="shared" si="2"/>
        <v>0</v>
      </c>
      <c r="X8" s="1505"/>
      <c r="Y8" s="3539" t="s">
        <v>527</v>
      </c>
      <c r="Z8" s="3540"/>
      <c r="AA8" s="1506" t="e">
        <f t="shared" ref="AA8:AA40" si="3">D8/F8</f>
        <v>#DIV/0!</v>
      </c>
      <c r="AB8" s="1506" t="e">
        <f t="shared" ref="AB8:AB40" si="4">D8/H8</f>
        <v>#DIV/0!</v>
      </c>
      <c r="AC8" s="1506" t="e">
        <f t="shared" ref="AC8:AC40" si="5">D8/J8</f>
        <v>#DIV/0!</v>
      </c>
    </row>
    <row r="9" spans="1:29" s="1203" customFormat="1" ht="15">
      <c r="A9" s="2631"/>
      <c r="B9" s="2638" t="s">
        <v>2732</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06" t="s">
        <v>529</v>
      </c>
      <c r="Q9" s="1134" t="str">
        <f t="shared" ref="Q9:Q15" si="6">B9</f>
        <v>用途</v>
      </c>
      <c r="R9" s="1503" t="s">
        <v>8</v>
      </c>
      <c r="S9" s="1504">
        <f t="shared" si="0"/>
        <v>100</v>
      </c>
      <c r="T9" s="1503" t="s">
        <v>8</v>
      </c>
      <c r="U9" s="1504">
        <f t="shared" si="1"/>
        <v>100</v>
      </c>
      <c r="V9" s="1503" t="s">
        <v>8</v>
      </c>
      <c r="W9" s="1504">
        <f t="shared" si="2"/>
        <v>100</v>
      </c>
      <c r="X9" s="1505"/>
      <c r="Y9" s="3452" t="s">
        <v>530</v>
      </c>
      <c r="Z9" s="1133" t="str">
        <f t="shared" ref="Z9:Z15" si="7">Q9</f>
        <v>用途</v>
      </c>
      <c r="AA9" s="1506">
        <f t="shared" si="3"/>
        <v>1</v>
      </c>
      <c r="AB9" s="1506">
        <f t="shared" si="4"/>
        <v>1</v>
      </c>
      <c r="AC9" s="1506">
        <f t="shared" si="5"/>
        <v>1</v>
      </c>
    </row>
    <row r="10" spans="1:29" s="1292" customFormat="1" ht="27">
      <c r="A10" s="2632"/>
      <c r="B10" s="2637" t="s">
        <v>2733</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06"/>
      <c r="Q10" s="1134" t="str">
        <f t="shared" si="6"/>
        <v>土地使用年限（年）</v>
      </c>
      <c r="R10" s="1503" t="s">
        <v>8</v>
      </c>
      <c r="S10" s="1504">
        <f t="shared" si="0"/>
        <v>100</v>
      </c>
      <c r="T10" s="1503" t="s">
        <v>8</v>
      </c>
      <c r="U10" s="1504">
        <f t="shared" si="1"/>
        <v>100</v>
      </c>
      <c r="V10" s="1503" t="s">
        <v>8</v>
      </c>
      <c r="W10" s="1504">
        <f t="shared" si="2"/>
        <v>100</v>
      </c>
      <c r="X10" s="1505"/>
      <c r="Y10" s="3452"/>
      <c r="Z10" s="1133" t="str">
        <f t="shared" si="7"/>
        <v>土地使用年限（年）</v>
      </c>
      <c r="AA10" s="1506">
        <f t="shared" si="3"/>
        <v>1</v>
      </c>
      <c r="AB10" s="1506">
        <f t="shared" si="4"/>
        <v>1</v>
      </c>
      <c r="AC10" s="1506">
        <f t="shared" si="5"/>
        <v>1</v>
      </c>
    </row>
    <row r="11" spans="1:29" ht="15">
      <c r="A11" s="2633"/>
      <c r="B11" s="2637" t="s">
        <v>2734</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06"/>
      <c r="Q11" s="1134" t="str">
        <f t="shared" si="6"/>
        <v>容积率</v>
      </c>
      <c r="R11" s="1503" t="s">
        <v>8</v>
      </c>
      <c r="S11" s="1504" t="e">
        <f t="shared" si="0"/>
        <v>#N/A</v>
      </c>
      <c r="T11" s="1503" t="s">
        <v>8</v>
      </c>
      <c r="U11" s="1504" t="e">
        <f t="shared" si="1"/>
        <v>#N/A</v>
      </c>
      <c r="V11" s="1503" t="s">
        <v>8</v>
      </c>
      <c r="W11" s="1504" t="e">
        <f t="shared" si="2"/>
        <v>#N/A</v>
      </c>
      <c r="X11" s="1505"/>
      <c r="Y11" s="3452"/>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06"/>
      <c r="Q12" s="1134">
        <f t="shared" si="6"/>
        <v>111</v>
      </c>
      <c r="R12" s="1503" t="s">
        <v>8</v>
      </c>
      <c r="S12" s="1504">
        <f t="shared" si="0"/>
        <v>100</v>
      </c>
      <c r="T12" s="1503" t="s">
        <v>8</v>
      </c>
      <c r="U12" s="1504">
        <f t="shared" si="1"/>
        <v>100</v>
      </c>
      <c r="V12" s="1503" t="s">
        <v>8</v>
      </c>
      <c r="W12" s="1504">
        <f t="shared" si="2"/>
        <v>100</v>
      </c>
      <c r="X12" s="1505"/>
      <c r="Y12" s="3452"/>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06"/>
      <c r="Q13" s="1134">
        <f t="shared" si="6"/>
        <v>111</v>
      </c>
      <c r="R13" s="1503" t="s">
        <v>8</v>
      </c>
      <c r="S13" s="1504">
        <f t="shared" si="0"/>
        <v>100</v>
      </c>
      <c r="T13" s="1503" t="s">
        <v>8</v>
      </c>
      <c r="U13" s="1504">
        <f t="shared" si="1"/>
        <v>100</v>
      </c>
      <c r="V13" s="1503" t="s">
        <v>8</v>
      </c>
      <c r="W13" s="1504">
        <f t="shared" si="2"/>
        <v>100</v>
      </c>
      <c r="X13" s="1505"/>
      <c r="Y13" s="3452"/>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06"/>
      <c r="Q14" s="1134">
        <f t="shared" si="6"/>
        <v>111</v>
      </c>
      <c r="R14" s="1503" t="s">
        <v>8</v>
      </c>
      <c r="S14" s="1504">
        <f t="shared" si="0"/>
        <v>100</v>
      </c>
      <c r="T14" s="1503" t="s">
        <v>8</v>
      </c>
      <c r="U14" s="1504">
        <f t="shared" si="1"/>
        <v>100</v>
      </c>
      <c r="V14" s="1503" t="s">
        <v>8</v>
      </c>
      <c r="W14" s="1504">
        <f t="shared" si="2"/>
        <v>100</v>
      </c>
      <c r="X14" s="1505"/>
      <c r="Y14" s="3452"/>
      <c r="Z14" s="1133">
        <f t="shared" si="7"/>
        <v>111</v>
      </c>
      <c r="AA14" s="1506">
        <f t="shared" si="3"/>
        <v>1</v>
      </c>
      <c r="AB14" s="1506">
        <f t="shared" si="4"/>
        <v>1</v>
      </c>
      <c r="AC14" s="1506">
        <f t="shared" si="5"/>
        <v>1</v>
      </c>
    </row>
    <row r="15" spans="1:29" ht="15">
      <c r="A15" s="2627" t="s">
        <v>2730</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2" t="s">
        <v>534</v>
      </c>
      <c r="Q15" s="1507" t="str">
        <f t="shared" si="6"/>
        <v>产业集聚程度</v>
      </c>
      <c r="R15" s="1508" t="s">
        <v>8</v>
      </c>
      <c r="S15" s="1509">
        <f t="shared" si="0"/>
        <v>100</v>
      </c>
      <c r="T15" s="1508" t="s">
        <v>8</v>
      </c>
      <c r="U15" s="1509">
        <f t="shared" si="1"/>
        <v>100</v>
      </c>
      <c r="V15" s="1508" t="s">
        <v>8</v>
      </c>
      <c r="W15" s="1509">
        <f t="shared" si="2"/>
        <v>100</v>
      </c>
      <c r="X15" s="1502"/>
      <c r="Y15" s="3542"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3"/>
      <c r="Q16" s="1507"/>
      <c r="R16" s="1508"/>
      <c r="S16" s="1509"/>
      <c r="T16" s="1508"/>
      <c r="U16" s="1509"/>
      <c r="V16" s="1508"/>
      <c r="W16" s="1509"/>
      <c r="X16" s="1502"/>
      <c r="Y16" s="3543"/>
      <c r="Z16" s="1510"/>
      <c r="AA16" s="1511">
        <v>1</v>
      </c>
      <c r="AB16" s="1511">
        <v>1</v>
      </c>
      <c r="AC16" s="1511">
        <v>1</v>
      </c>
    </row>
    <row r="17" spans="1:29" ht="1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3"/>
      <c r="Q17" s="1507" t="str">
        <f>B17</f>
        <v>交通便捷度</v>
      </c>
      <c r="R17" s="1508" t="s">
        <v>8</v>
      </c>
      <c r="S17" s="1509">
        <f>F17</f>
        <v>100</v>
      </c>
      <c r="T17" s="1508" t="s">
        <v>8</v>
      </c>
      <c r="U17" s="1509">
        <f>H17</f>
        <v>100</v>
      </c>
      <c r="V17" s="1508" t="s">
        <v>8</v>
      </c>
      <c r="W17" s="1509">
        <f>J17</f>
        <v>100</v>
      </c>
      <c r="X17" s="1502"/>
      <c r="Y17" s="3543"/>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3"/>
      <c r="Q18" s="1507"/>
      <c r="R18" s="1508"/>
      <c r="S18" s="1509"/>
      <c r="T18" s="1508"/>
      <c r="U18" s="1509"/>
      <c r="V18" s="1508"/>
      <c r="W18" s="1509"/>
      <c r="X18" s="1502"/>
      <c r="Y18" s="3543"/>
      <c r="Z18" s="1510"/>
      <c r="AA18" s="1511">
        <v>1</v>
      </c>
      <c r="AB18" s="1511">
        <v>1</v>
      </c>
      <c r="AC18" s="1511">
        <v>1</v>
      </c>
    </row>
    <row r="19" spans="1:29" ht="15">
      <c r="A19" s="526"/>
      <c r="B19" s="2447" t="s">
        <v>2523</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3"/>
      <c r="Q19" s="1507" t="str">
        <f>B19</f>
        <v>公共配套设施</v>
      </c>
      <c r="R19" s="1508" t="s">
        <v>8</v>
      </c>
      <c r="S19" s="1509">
        <f>F19</f>
        <v>100</v>
      </c>
      <c r="T19" s="1508" t="s">
        <v>8</v>
      </c>
      <c r="U19" s="1509">
        <f>H19</f>
        <v>100</v>
      </c>
      <c r="V19" s="1508" t="s">
        <v>8</v>
      </c>
      <c r="W19" s="1509">
        <f>J19</f>
        <v>100</v>
      </c>
      <c r="X19" s="1502"/>
      <c r="Y19" s="3543"/>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43"/>
      <c r="Q20" s="1507"/>
      <c r="R20" s="1508"/>
      <c r="S20" s="1509"/>
      <c r="T20" s="1508"/>
      <c r="U20" s="1509"/>
      <c r="V20" s="1508"/>
      <c r="W20" s="1509"/>
      <c r="X20" s="1502"/>
      <c r="Y20" s="3543"/>
      <c r="Z20" s="1510"/>
      <c r="AA20" s="1511">
        <v>1</v>
      </c>
      <c r="AB20" s="1511">
        <v>1</v>
      </c>
      <c r="AC20" s="1511">
        <v>1</v>
      </c>
    </row>
    <row r="21" spans="1:29" ht="15">
      <c r="A21" s="526"/>
      <c r="B21" s="2435" t="s">
        <v>2535</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3"/>
      <c r="Q21" s="2429" t="str">
        <f>B21</f>
        <v>基础设施水平</v>
      </c>
      <c r="R21" s="1508" t="s">
        <v>8</v>
      </c>
      <c r="S21" s="1509">
        <f>F21</f>
        <v>100</v>
      </c>
      <c r="T21" s="1508" t="s">
        <v>8</v>
      </c>
      <c r="U21" s="1509">
        <f>H21</f>
        <v>100</v>
      </c>
      <c r="V21" s="1508" t="s">
        <v>8</v>
      </c>
      <c r="W21" s="1509">
        <f>J21</f>
        <v>100</v>
      </c>
      <c r="X21" s="2431"/>
      <c r="Y21" s="3543"/>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43"/>
      <c r="Q22" s="2429"/>
      <c r="R22" s="1508"/>
      <c r="S22" s="1509"/>
      <c r="T22" s="1508"/>
      <c r="U22" s="1509"/>
      <c r="V22" s="1508"/>
      <c r="W22" s="1509"/>
      <c r="X22" s="2431"/>
      <c r="Y22" s="3543"/>
      <c r="Z22" s="2430"/>
      <c r="AA22" s="1511">
        <v>1</v>
      </c>
      <c r="AB22" s="1511">
        <v>1</v>
      </c>
      <c r="AC22" s="1511">
        <v>1</v>
      </c>
    </row>
    <row r="23" spans="1:29" ht="1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3"/>
      <c r="Q23" s="1507" t="str">
        <f>B23</f>
        <v>环境质量</v>
      </c>
      <c r="R23" s="1508" t="s">
        <v>8</v>
      </c>
      <c r="S23" s="1509">
        <f>F23</f>
        <v>100</v>
      </c>
      <c r="T23" s="1508" t="s">
        <v>8</v>
      </c>
      <c r="U23" s="1509">
        <f>H23</f>
        <v>100</v>
      </c>
      <c r="V23" s="1508" t="s">
        <v>8</v>
      </c>
      <c r="W23" s="1509">
        <f>J23</f>
        <v>100</v>
      </c>
      <c r="X23" s="1502"/>
      <c r="Y23" s="3543"/>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43"/>
      <c r="Q24" s="1507"/>
      <c r="R24" s="1508"/>
      <c r="S24" s="1509"/>
      <c r="T24" s="1508"/>
      <c r="U24" s="1509"/>
      <c r="V24" s="1508"/>
      <c r="W24" s="1509"/>
      <c r="X24" s="1502"/>
      <c r="Y24" s="3543"/>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3"/>
      <c r="Q25" s="1507">
        <f>B25</f>
        <v>111</v>
      </c>
      <c r="R25" s="1508" t="s">
        <v>8</v>
      </c>
      <c r="S25" s="1509">
        <f>F25</f>
        <v>100</v>
      </c>
      <c r="T25" s="1508" t="s">
        <v>8</v>
      </c>
      <c r="U25" s="1509">
        <f>H25</f>
        <v>100</v>
      </c>
      <c r="V25" s="1508" t="s">
        <v>8</v>
      </c>
      <c r="W25" s="1509">
        <f>J25</f>
        <v>100</v>
      </c>
      <c r="X25" s="1502"/>
      <c r="Y25" s="3543"/>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3"/>
      <c r="Q26" s="1507">
        <f t="shared" ref="Q26:Q40" si="11">B26</f>
        <v>111</v>
      </c>
      <c r="R26" s="1508" t="s">
        <v>8</v>
      </c>
      <c r="S26" s="1509">
        <f>F26</f>
        <v>100</v>
      </c>
      <c r="T26" s="1508" t="s">
        <v>8</v>
      </c>
      <c r="U26" s="1509">
        <f>H26</f>
        <v>100</v>
      </c>
      <c r="V26" s="1508" t="s">
        <v>8</v>
      </c>
      <c r="W26" s="1509">
        <f>J26</f>
        <v>100</v>
      </c>
      <c r="X26" s="1502"/>
      <c r="Y26" s="3543"/>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3"/>
      <c r="Q27" s="1134">
        <f t="shared" si="11"/>
        <v>111</v>
      </c>
      <c r="R27" s="1503" t="s">
        <v>8</v>
      </c>
      <c r="S27" s="1504">
        <f>F27</f>
        <v>100</v>
      </c>
      <c r="T27" s="1503" t="s">
        <v>8</v>
      </c>
      <c r="U27" s="1504">
        <f>H27</f>
        <v>100</v>
      </c>
      <c r="V27" s="1503" t="s">
        <v>8</v>
      </c>
      <c r="W27" s="1504">
        <f>J27</f>
        <v>100</v>
      </c>
      <c r="X27" s="1505"/>
      <c r="Y27" s="3543"/>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3"/>
      <c r="Q28" s="1507">
        <f t="shared" si="11"/>
        <v>111</v>
      </c>
      <c r="R28" s="1508" t="s">
        <v>8</v>
      </c>
      <c r="S28" s="1509">
        <f t="shared" ref="S28:S40" si="12">F28</f>
        <v>100</v>
      </c>
      <c r="T28" s="1508" t="s">
        <v>8</v>
      </c>
      <c r="U28" s="1509">
        <f t="shared" ref="U28:U40" si="13">H28</f>
        <v>100</v>
      </c>
      <c r="V28" s="1508" t="s">
        <v>8</v>
      </c>
      <c r="W28" s="1509">
        <f t="shared" ref="W28:W40" si="14">J28</f>
        <v>100</v>
      </c>
      <c r="X28" s="1502"/>
      <c r="Y28" s="3543"/>
      <c r="Z28" s="1510">
        <f t="shared" ref="Z28:Z40" si="15">Q28</f>
        <v>111</v>
      </c>
      <c r="AA28" s="1511">
        <f t="shared" si="3"/>
        <v>1</v>
      </c>
      <c r="AB28" s="1511">
        <f t="shared" si="4"/>
        <v>1</v>
      </c>
      <c r="AC28" s="1511">
        <f t="shared" si="5"/>
        <v>1</v>
      </c>
    </row>
    <row r="29" spans="1:29" ht="15">
      <c r="A29" s="2624" t="s">
        <v>2731</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44" t="s">
        <v>544</v>
      </c>
      <c r="Q29" s="1507" t="str">
        <f t="shared" si="11"/>
        <v>建筑类型</v>
      </c>
      <c r="R29" s="1508" t="s">
        <v>8</v>
      </c>
      <c r="S29" s="1509">
        <f t="shared" si="12"/>
        <v>100</v>
      </c>
      <c r="T29" s="1508" t="s">
        <v>8</v>
      </c>
      <c r="U29" s="1509">
        <f t="shared" si="13"/>
        <v>100</v>
      </c>
      <c r="V29" s="1508" t="s">
        <v>8</v>
      </c>
      <c r="W29" s="1509">
        <f t="shared" si="14"/>
        <v>100</v>
      </c>
      <c r="X29" s="1502"/>
      <c r="Y29" s="3545"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5"/>
      <c r="Q30" s="1536" t="str">
        <f t="shared" si="11"/>
        <v>项目建筑规模</v>
      </c>
      <c r="R30" s="1512" t="s">
        <v>8</v>
      </c>
      <c r="S30" s="1513" t="e">
        <f t="shared" si="12"/>
        <v>#N/A</v>
      </c>
      <c r="T30" s="1512" t="s">
        <v>8</v>
      </c>
      <c r="U30" s="1513" t="e">
        <f t="shared" si="13"/>
        <v>#N/A</v>
      </c>
      <c r="V30" s="1512" t="s">
        <v>8</v>
      </c>
      <c r="W30" s="1513" t="e">
        <f t="shared" si="14"/>
        <v>#N/A</v>
      </c>
      <c r="X30" s="1514"/>
      <c r="Y30" s="3545"/>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5"/>
      <c r="Q31" s="1507" t="str">
        <f t="shared" si="11"/>
        <v>建筑结构</v>
      </c>
      <c r="R31" s="1508" t="s">
        <v>8</v>
      </c>
      <c r="S31" s="1509">
        <f t="shared" si="12"/>
        <v>100</v>
      </c>
      <c r="T31" s="1508" t="s">
        <v>8</v>
      </c>
      <c r="U31" s="1509">
        <f t="shared" si="13"/>
        <v>100</v>
      </c>
      <c r="V31" s="1508" t="s">
        <v>8</v>
      </c>
      <c r="W31" s="1509">
        <f t="shared" si="14"/>
        <v>100</v>
      </c>
      <c r="X31" s="1502"/>
      <c r="Y31" s="3545"/>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5"/>
      <c r="Q32" s="1507" t="str">
        <f t="shared" si="11"/>
        <v>公共部分装修</v>
      </c>
      <c r="R32" s="1508" t="s">
        <v>8</v>
      </c>
      <c r="S32" s="1509">
        <f t="shared" si="12"/>
        <v>100</v>
      </c>
      <c r="T32" s="1508" t="s">
        <v>8</v>
      </c>
      <c r="U32" s="1509">
        <f t="shared" si="13"/>
        <v>100</v>
      </c>
      <c r="V32" s="1508" t="s">
        <v>8</v>
      </c>
      <c r="W32" s="1509">
        <f t="shared" si="14"/>
        <v>100</v>
      </c>
      <c r="X32" s="1502"/>
      <c r="Y32" s="3545"/>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45"/>
      <c r="Q33" s="1507" t="str">
        <f t="shared" si="11"/>
        <v>成新度</v>
      </c>
      <c r="R33" s="1508" t="s">
        <v>8</v>
      </c>
      <c r="S33" s="1509" t="e">
        <f t="shared" si="12"/>
        <v>#N/A</v>
      </c>
      <c r="T33" s="1508" t="s">
        <v>8</v>
      </c>
      <c r="U33" s="1509" t="e">
        <f t="shared" si="13"/>
        <v>#N/A</v>
      </c>
      <c r="V33" s="1508" t="s">
        <v>8</v>
      </c>
      <c r="W33" s="1509" t="e">
        <f t="shared" si="14"/>
        <v>#N/A</v>
      </c>
      <c r="X33" s="1502"/>
      <c r="Y33" s="3545"/>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5"/>
      <c r="Q34" s="1134" t="str">
        <f t="shared" si="11"/>
        <v>物业管理</v>
      </c>
      <c r="R34" s="1503" t="s">
        <v>8</v>
      </c>
      <c r="S34" s="1504">
        <f t="shared" si="12"/>
        <v>100</v>
      </c>
      <c r="T34" s="1503" t="s">
        <v>8</v>
      </c>
      <c r="U34" s="1504">
        <f t="shared" si="13"/>
        <v>100</v>
      </c>
      <c r="V34" s="1503" t="s">
        <v>8</v>
      </c>
      <c r="W34" s="1504">
        <f t="shared" si="14"/>
        <v>100</v>
      </c>
      <c r="X34" s="1505"/>
      <c r="Y34" s="3545"/>
      <c r="Z34" s="1133" t="str">
        <f t="shared" si="15"/>
        <v>物业管理</v>
      </c>
      <c r="AA34" s="1506">
        <f t="shared" si="3"/>
        <v>1</v>
      </c>
      <c r="AB34" s="1506">
        <f t="shared" si="4"/>
        <v>1</v>
      </c>
      <c r="AC34" s="1506">
        <f t="shared" si="5"/>
        <v>1</v>
      </c>
    </row>
    <row r="35" spans="1:29" ht="15">
      <c r="A35" s="588"/>
      <c r="B35" s="1809" t="s">
        <v>2542</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5" t="s">
        <v>544</v>
      </c>
      <c r="Q35" s="1507" t="str">
        <f t="shared" si="11"/>
        <v>市政基础设施</v>
      </c>
      <c r="R35" s="1508" t="s">
        <v>8</v>
      </c>
      <c r="S35" s="1509">
        <f t="shared" si="12"/>
        <v>100</v>
      </c>
      <c r="T35" s="1508" t="s">
        <v>8</v>
      </c>
      <c r="U35" s="1509">
        <f t="shared" si="13"/>
        <v>100</v>
      </c>
      <c r="V35" s="1508" t="s">
        <v>8</v>
      </c>
      <c r="W35" s="1509">
        <f t="shared" si="14"/>
        <v>100</v>
      </c>
      <c r="X35" s="1502"/>
      <c r="Y35" s="3545"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5"/>
      <c r="Q36" s="1507" t="str">
        <f t="shared" si="11"/>
        <v>内部装修</v>
      </c>
      <c r="R36" s="1508" t="s">
        <v>8</v>
      </c>
      <c r="S36" s="1509">
        <f t="shared" si="12"/>
        <v>100</v>
      </c>
      <c r="T36" s="1508" t="s">
        <v>8</v>
      </c>
      <c r="U36" s="1509">
        <f t="shared" si="13"/>
        <v>100</v>
      </c>
      <c r="V36" s="1508" t="s">
        <v>8</v>
      </c>
      <c r="W36" s="1509">
        <f t="shared" si="14"/>
        <v>100</v>
      </c>
      <c r="X36" s="1502"/>
      <c r="Y36" s="3545"/>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5"/>
      <c r="Q37" s="1507" t="str">
        <f t="shared" si="11"/>
        <v>内部装修状况</v>
      </c>
      <c r="R37" s="1508" t="s">
        <v>8</v>
      </c>
      <c r="S37" s="1509">
        <f t="shared" si="12"/>
        <v>100</v>
      </c>
      <c r="T37" s="1508" t="s">
        <v>8</v>
      </c>
      <c r="U37" s="1509">
        <f t="shared" si="13"/>
        <v>100</v>
      </c>
      <c r="V37" s="1508" t="s">
        <v>8</v>
      </c>
      <c r="W37" s="1509">
        <f t="shared" si="14"/>
        <v>100</v>
      </c>
      <c r="X37" s="1502"/>
      <c r="Y37" s="3545"/>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45"/>
      <c r="Q38" s="1536">
        <f t="shared" si="11"/>
        <v>111</v>
      </c>
      <c r="R38" s="1512" t="s">
        <v>8</v>
      </c>
      <c r="S38" s="1513">
        <f t="shared" si="12"/>
        <v>100</v>
      </c>
      <c r="T38" s="1512" t="s">
        <v>8</v>
      </c>
      <c r="U38" s="1513">
        <f t="shared" si="13"/>
        <v>100</v>
      </c>
      <c r="V38" s="1512" t="s">
        <v>8</v>
      </c>
      <c r="W38" s="1513">
        <f t="shared" si="14"/>
        <v>100</v>
      </c>
      <c r="X38" s="1514"/>
      <c r="Y38" s="3545"/>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45"/>
      <c r="Q39" s="1507">
        <f t="shared" si="11"/>
        <v>111</v>
      </c>
      <c r="R39" s="1508" t="s">
        <v>8</v>
      </c>
      <c r="S39" s="1509">
        <f t="shared" si="12"/>
        <v>100</v>
      </c>
      <c r="T39" s="1508" t="s">
        <v>8</v>
      </c>
      <c r="U39" s="1509">
        <f t="shared" si="13"/>
        <v>100</v>
      </c>
      <c r="V39" s="1508" t="s">
        <v>8</v>
      </c>
      <c r="W39" s="1509">
        <f t="shared" si="14"/>
        <v>100</v>
      </c>
      <c r="X39" s="1502"/>
      <c r="Y39" s="3545"/>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27"/>
      <c r="Q40" s="1507">
        <f t="shared" si="11"/>
        <v>111</v>
      </c>
      <c r="R40" s="1508" t="s">
        <v>8</v>
      </c>
      <c r="S40" s="1509">
        <f t="shared" si="12"/>
        <v>100</v>
      </c>
      <c r="T40" s="1508" t="s">
        <v>8</v>
      </c>
      <c r="U40" s="1509">
        <f t="shared" si="13"/>
        <v>100</v>
      </c>
      <c r="V40" s="1508" t="s">
        <v>8</v>
      </c>
      <c r="W40" s="1509">
        <f t="shared" si="14"/>
        <v>100</v>
      </c>
      <c r="X40" s="1502"/>
      <c r="Y40" s="3627"/>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06" t="str">
        <f>A41</f>
        <v>成交单价（元/平方米）</v>
      </c>
      <c r="Q41" s="3506"/>
      <c r="R41" s="3626">
        <f>E41</f>
        <v>0</v>
      </c>
      <c r="S41" s="3626"/>
      <c r="T41" s="3626">
        <f>G41</f>
        <v>0</v>
      </c>
      <c r="U41" s="3626"/>
      <c r="V41" s="3626">
        <f>I41</f>
        <v>0</v>
      </c>
      <c r="W41" s="3626"/>
      <c r="X41" s="1497"/>
      <c r="Y41" s="1516"/>
      <c r="Z41" s="1497"/>
      <c r="AA41" s="1497"/>
      <c r="AB41" s="1497"/>
      <c r="AC41" s="1497"/>
    </row>
    <row r="42" spans="1:29" ht="15.75" thickBot="1">
      <c r="A42" s="609" t="s">
        <v>2736</v>
      </c>
      <c r="B42" s="877"/>
      <c r="C42" s="2476" t="e">
        <f>R43</f>
        <v>#DIV/0!</v>
      </c>
      <c r="D42" s="3014" t="s">
        <v>2954</v>
      </c>
      <c r="E42" s="2477" t="e">
        <f>R42</f>
        <v>#DIV/0!</v>
      </c>
      <c r="F42" s="3015"/>
      <c r="G42" s="2476" t="e">
        <f>T42</f>
        <v>#DIV/0!</v>
      </c>
      <c r="H42" s="3015"/>
      <c r="I42" s="2477" t="e">
        <f>V42</f>
        <v>#DIV/0!</v>
      </c>
      <c r="J42" s="3015"/>
      <c r="K42" s="3023">
        <f>F42+H42+J42</f>
        <v>0</v>
      </c>
      <c r="L42" s="2026"/>
      <c r="M42" s="2027"/>
      <c r="N42" s="2016"/>
      <c r="O42" s="2027"/>
      <c r="P42" s="3506" t="str">
        <f>A42</f>
        <v>比较价格（元/平方米）</v>
      </c>
      <c r="Q42" s="3506"/>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1497"/>
      <c r="Y42" s="1497"/>
      <c r="Z42" s="1497"/>
      <c r="AA42" s="1497"/>
      <c r="AB42" s="1497"/>
      <c r="AC42" s="1497"/>
    </row>
    <row r="43" spans="1:29" ht="15.75" thickBot="1">
      <c r="A43" s="613" t="s">
        <v>2886</v>
      </c>
      <c r="B43" s="614"/>
      <c r="C43" s="2478" t="e">
        <f>R43</f>
        <v>#DIV/0!</v>
      </c>
      <c r="D43" s="2478"/>
      <c r="E43" s="2478"/>
      <c r="F43" s="2478"/>
      <c r="G43" s="2478"/>
      <c r="H43" s="2478"/>
      <c r="I43" s="2478"/>
      <c r="J43" s="2478"/>
      <c r="K43" s="1542"/>
      <c r="L43" s="2026"/>
      <c r="M43" s="2027"/>
      <c r="N43" s="2027"/>
      <c r="O43" s="2027"/>
      <c r="P43" s="3503" t="str">
        <f>A43</f>
        <v>估价对象XX用房的比较价格（楼面单价，元/平方米）</v>
      </c>
      <c r="Q43" s="3504"/>
      <c r="R43" s="3625" t="e">
        <f>IF(F1="售价",ROUND(IF(D42="简单平均",AVERAGE(R42:V42),R42*F42+T42*H42+V42*J42),0),ROUND(IF(D42="简单平均",AVERAGE(R42:V42),R42*F42+T42*H42+V42*J42),1))</f>
        <v>#DIV/0!</v>
      </c>
      <c r="S43" s="3625"/>
      <c r="T43" s="3625"/>
      <c r="U43" s="3625"/>
      <c r="V43" s="3625"/>
      <c r="W43" s="3625"/>
      <c r="X43" s="1497"/>
      <c r="Y43" s="1497"/>
      <c r="Z43" s="1497"/>
      <c r="AA43" s="1497"/>
      <c r="AB43" s="1497"/>
      <c r="AC43" s="1497"/>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2020-12</v>
      </c>
      <c r="D52" s="2521">
        <f>EDATE(C52,-1)</f>
        <v>44136</v>
      </c>
      <c r="E52" s="2521">
        <f t="shared" ref="E52:O52" si="16">EDATE(D52,-1)</f>
        <v>44105</v>
      </c>
      <c r="F52" s="2521">
        <f t="shared" si="16"/>
        <v>44075</v>
      </c>
      <c r="G52" s="2521">
        <f t="shared" si="16"/>
        <v>44044</v>
      </c>
      <c r="H52" s="2521">
        <f t="shared" si="16"/>
        <v>44013</v>
      </c>
      <c r="I52" s="2521">
        <f t="shared" si="16"/>
        <v>43983</v>
      </c>
      <c r="J52" s="2521">
        <f t="shared" si="16"/>
        <v>43952</v>
      </c>
      <c r="K52" s="2521">
        <f t="shared" si="16"/>
        <v>43922</v>
      </c>
      <c r="L52" s="2521">
        <f t="shared" si="16"/>
        <v>43891</v>
      </c>
      <c r="M52" s="2521">
        <f t="shared" si="16"/>
        <v>43862</v>
      </c>
      <c r="N52" s="2521">
        <f t="shared" si="16"/>
        <v>43831</v>
      </c>
      <c r="O52" s="2521">
        <f t="shared" si="16"/>
        <v>43800</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2534</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2535</v>
      </c>
      <c r="C76" s="2442" t="s">
        <v>2536</v>
      </c>
      <c r="D76" s="2442" t="s">
        <v>2537</v>
      </c>
      <c r="E76" s="2442" t="s">
        <v>2538</v>
      </c>
      <c r="F76" s="2442" t="s">
        <v>2539</v>
      </c>
      <c r="G76" s="2442" t="s">
        <v>2540</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2533</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42"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光大兴陇信托有限责任公司：</v>
      </c>
    </row>
    <row r="4" spans="1:4" ht="37.5">
      <c r="A4" s="1706" t="str">
        <f>"受贵公司委托，我公司对"&amp;项目基本情况!K2&amp;项目基本情况!B9&amp;"进行了预评估。"</f>
        <v>受贵公司委托，我公司对湖北省黄石市大冶市罗桥商贸新区新冶大道东侧、职业技术学校北侧出让国有建设用地使用权抵押价格进行了预评估。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黄石市大冶市罗桥商贸新区新冶大道东侧、职业技术学校北侧出让国有建设用地使用权。根据，估价对象（分摊）出让国有建设用地使用权面积为12606.51平方米。根据，估价对象规划建筑面积为37819.53平方米。</v>
      </c>
    </row>
    <row r="7" spans="1:4" ht="93.75">
      <c r="A7" s="2590" t="s">
        <v>2724</v>
      </c>
    </row>
    <row r="8" spans="1:4" ht="18.75">
      <c r="A8" s="1709" t="s">
        <v>1897</v>
      </c>
    </row>
    <row r="9" spans="1:4" ht="112.5">
      <c r="A9" s="1711" t="str">
        <f>IF(项目基本情况!B8="抵押",IF(项目基本情况!B5=项目基本情况!B6,定义!C51,定义!B51),定义!D51)</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row>
    <row r="10" spans="1:4" ht="18.75">
      <c r="A10" s="1712" t="s">
        <v>2012</v>
      </c>
    </row>
    <row r="11" spans="1:4" ht="18.75">
      <c r="A11" s="1695" t="str">
        <f>TEXT(项目基本情况!D3,"yyyy年m月d日;;")&amp;IF(项目基本情况!B3=项目基本情况!D3,"（评估专业人员勘察现场之日）","")</f>
        <v>2020年12月1日（评估专业人员勘察现场之日）</v>
      </c>
    </row>
    <row r="12" spans="1:4" ht="18.75">
      <c r="A12" s="1712" t="s">
        <v>2011</v>
      </c>
    </row>
    <row r="13" spans="1:4" ht="18.75">
      <c r="A13" s="1706" t="s">
        <v>2057</v>
      </c>
    </row>
    <row r="14" spans="1:4" ht="18.75">
      <c r="A14" s="1706" t="str">
        <f>"根据"&amp;项目基本情况!F12&amp;"，本次评估估价对象证载（地类）用途为"&amp;项目基本情况!B12&amp;"。"</f>
        <v>根据住宅，本次评估估价对象证载（地类）用途为住宅。</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6"/>
      <c r="D15" s="1697"/>
    </row>
    <row r="16" spans="1:4" ht="18.75">
      <c r="A16" s="1706" t="s">
        <v>2058</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2059</v>
      </c>
    </row>
    <row r="20" spans="1:1" ht="3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根据，估价对象（分摊）出让国有建设用地使用权面积为12606.51平方米。根据，估价对象规划建筑面积为37819.53平方米。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2060</v>
      </c>
    </row>
    <row r="23" spans="1:1" ht="18.75">
      <c r="A23" s="2592" t="s">
        <v>2725</v>
      </c>
    </row>
    <row r="24" spans="1:1" ht="18.75">
      <c r="A24" s="1706" t="s">
        <v>2061</v>
      </c>
    </row>
    <row r="25" spans="1:1" ht="93.75">
      <c r="A25" s="1706" t="str">
        <f>定义!C53</f>
        <v>本次估价的“出让国有建设用地使用权价格”是指在估价对象土地所有权为国家所有，使用权性质为出让，在公开市场条件下、于估价期日2020年12月1日，在规划利用条件下、设定土地开发程度为红线外“七通”、宗地内场地，设定用途为住宅，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2013</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90" customFormat="1" ht="28.5" customHeight="1" thickBot="1">
      <c r="A3" s="503" t="s">
        <v>789</v>
      </c>
      <c r="B3" s="504" t="e">
        <f>IF(B37="元/平方米",C39,ROUND(B2*10000/D3,0))</f>
        <v>#DIV/0!</v>
      </c>
      <c r="C3" s="841" t="s">
        <v>790</v>
      </c>
      <c r="D3" s="840">
        <f>SUMIF('数据-汇总表'!$C19:$C33,D1,'数据-汇总表'!$E19:$E33)</f>
        <v>0</v>
      </c>
      <c r="E3" s="1762" t="s">
        <v>2062</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12" t="s">
        <v>792</v>
      </c>
      <c r="D4" s="3513"/>
      <c r="E4" s="3512" t="s">
        <v>793</v>
      </c>
      <c r="F4" s="3513"/>
      <c r="G4" s="3512" t="s">
        <v>794</v>
      </c>
      <c r="H4" s="3513"/>
      <c r="I4" s="3512" t="s">
        <v>795</v>
      </c>
      <c r="J4" s="3513"/>
      <c r="K4" s="508" t="s">
        <v>796</v>
      </c>
      <c r="L4" s="2015"/>
      <c r="M4" s="2016"/>
      <c r="N4" s="2016"/>
      <c r="O4" s="2016"/>
      <c r="P4" s="3514" t="s">
        <v>797</v>
      </c>
      <c r="Q4" s="3515"/>
      <c r="R4" s="3520" t="s">
        <v>793</v>
      </c>
      <c r="S4" s="3521"/>
      <c r="T4" s="3520" t="s">
        <v>794</v>
      </c>
      <c r="U4" s="3521"/>
      <c r="V4" s="3507" t="s">
        <v>795</v>
      </c>
      <c r="W4" s="3507"/>
      <c r="X4" s="1502"/>
      <c r="Y4" s="3520" t="s">
        <v>797</v>
      </c>
      <c r="Z4" s="3521"/>
      <c r="AA4" s="3509" t="s">
        <v>793</v>
      </c>
      <c r="AB4" s="3510" t="s">
        <v>794</v>
      </c>
      <c r="AC4" s="3509" t="s">
        <v>795</v>
      </c>
    </row>
    <row r="5" spans="1:29" ht="15">
      <c r="A5" s="509"/>
      <c r="B5" s="510"/>
      <c r="C5" s="3528" t="s">
        <v>2880</v>
      </c>
      <c r="D5" s="3529"/>
      <c r="E5" s="3528" t="s">
        <v>2881</v>
      </c>
      <c r="F5" s="3529"/>
      <c r="G5" s="3528" t="s">
        <v>2882</v>
      </c>
      <c r="H5" s="3529"/>
      <c r="I5" s="3528" t="s">
        <v>2883</v>
      </c>
      <c r="J5" s="3529"/>
      <c r="K5" s="508"/>
      <c r="L5" s="2015"/>
      <c r="M5" s="2016"/>
      <c r="N5" s="2016"/>
      <c r="O5" s="2016"/>
      <c r="P5" s="3516"/>
      <c r="Q5" s="3517"/>
      <c r="R5" s="3522"/>
      <c r="S5" s="3523"/>
      <c r="T5" s="3522"/>
      <c r="U5" s="3523"/>
      <c r="V5" s="3507"/>
      <c r="W5" s="3507"/>
      <c r="X5" s="1502"/>
      <c r="Y5" s="3522"/>
      <c r="Z5" s="3523"/>
      <c r="AA5" s="3510"/>
      <c r="AB5" s="3510"/>
      <c r="AC5" s="3510"/>
    </row>
    <row r="6" spans="1:29" ht="15.75" thickBot="1">
      <c r="A6" s="511"/>
      <c r="B6" s="512"/>
      <c r="C6" s="3526" t="s">
        <v>2884</v>
      </c>
      <c r="D6" s="3527"/>
      <c r="E6" s="3532" t="s">
        <v>2884</v>
      </c>
      <c r="F6" s="3533"/>
      <c r="G6" s="3526" t="s">
        <v>2884</v>
      </c>
      <c r="H6" s="3527"/>
      <c r="I6" s="3526" t="s">
        <v>2884</v>
      </c>
      <c r="J6" s="3527"/>
      <c r="K6" s="508" t="s">
        <v>522</v>
      </c>
      <c r="L6" s="2015"/>
      <c r="M6" s="2016"/>
      <c r="N6" s="2016"/>
      <c r="O6" s="2016"/>
      <c r="P6" s="3518"/>
      <c r="Q6" s="3519"/>
      <c r="R6" s="3522"/>
      <c r="S6" s="3523"/>
      <c r="T6" s="3524"/>
      <c r="U6" s="3525"/>
      <c r="V6" s="3507"/>
      <c r="W6" s="3507"/>
      <c r="X6" s="1502"/>
      <c r="Y6" s="3524"/>
      <c r="Z6" s="3525"/>
      <c r="AA6" s="3511"/>
      <c r="AB6" s="3511"/>
      <c r="AC6" s="3511"/>
    </row>
    <row r="7" spans="1:29" s="1203" customFormat="1" ht="15.75" thickBot="1">
      <c r="A7" s="2629"/>
      <c r="B7" s="2636" t="s">
        <v>523</v>
      </c>
      <c r="C7" s="513">
        <f>'数据-取费表'!B2</f>
        <v>44166</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39" t="s">
        <v>524</v>
      </c>
      <c r="Q7" s="3541"/>
      <c r="R7" s="1503" t="s">
        <v>8</v>
      </c>
      <c r="S7" s="1504">
        <f t="shared" ref="S7:S14" si="0">F7</f>
        <v>0</v>
      </c>
      <c r="T7" s="1503" t="s">
        <v>8</v>
      </c>
      <c r="U7" s="1504">
        <f t="shared" ref="U7:U14" si="1">H7</f>
        <v>0</v>
      </c>
      <c r="V7" s="1503" t="s">
        <v>8</v>
      </c>
      <c r="W7" s="1504">
        <f t="shared" ref="W7:W14" si="2">J7</f>
        <v>0</v>
      </c>
      <c r="X7" s="1505"/>
      <c r="Y7" s="3539" t="s">
        <v>524</v>
      </c>
      <c r="Z7" s="3540"/>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39" t="s">
        <v>527</v>
      </c>
      <c r="Q8" s="3540"/>
      <c r="R8" s="1503" t="s">
        <v>8</v>
      </c>
      <c r="S8" s="1504">
        <f t="shared" si="0"/>
        <v>0</v>
      </c>
      <c r="T8" s="1503" t="s">
        <v>8</v>
      </c>
      <c r="U8" s="1504">
        <f t="shared" si="1"/>
        <v>0</v>
      </c>
      <c r="V8" s="1503" t="s">
        <v>8</v>
      </c>
      <c r="W8" s="1504">
        <f t="shared" si="2"/>
        <v>0</v>
      </c>
      <c r="X8" s="1505"/>
      <c r="Y8" s="3539" t="s">
        <v>527</v>
      </c>
      <c r="Z8" s="3540"/>
      <c r="AA8" s="1506" t="e">
        <f t="shared" ref="AA8:AA36" si="3">D8/F8</f>
        <v>#DIV/0!</v>
      </c>
      <c r="AB8" s="1506" t="e">
        <f t="shared" ref="AB8:AB36" si="4">D8/H8</f>
        <v>#DIV/0!</v>
      </c>
      <c r="AC8" s="1506" t="e">
        <f t="shared" ref="AC8:AC36" si="5">D8/J8</f>
        <v>#DIV/0!</v>
      </c>
    </row>
    <row r="9" spans="1:29" s="1203" customFormat="1" ht="15">
      <c r="A9" s="2631"/>
      <c r="B9" s="2638" t="s">
        <v>2732</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06" t="s">
        <v>529</v>
      </c>
      <c r="Q9" s="1134" t="str">
        <f t="shared" ref="Q9:Q14" si="6">B9</f>
        <v>用途</v>
      </c>
      <c r="R9" s="1503" t="s">
        <v>8</v>
      </c>
      <c r="S9" s="1504">
        <f t="shared" si="0"/>
        <v>100</v>
      </c>
      <c r="T9" s="1503" t="s">
        <v>8</v>
      </c>
      <c r="U9" s="1504">
        <f t="shared" si="1"/>
        <v>100</v>
      </c>
      <c r="V9" s="1503" t="s">
        <v>8</v>
      </c>
      <c r="W9" s="1504">
        <f t="shared" si="2"/>
        <v>100</v>
      </c>
      <c r="X9" s="1505"/>
      <c r="Y9" s="3452" t="s">
        <v>530</v>
      </c>
      <c r="Z9" s="1133" t="str">
        <f t="shared" ref="Z9:Z14" si="7">Q9</f>
        <v>用途</v>
      </c>
      <c r="AA9" s="1506">
        <f t="shared" si="3"/>
        <v>1</v>
      </c>
      <c r="AB9" s="1506">
        <f t="shared" si="4"/>
        <v>1</v>
      </c>
      <c r="AC9" s="1506">
        <f t="shared" si="5"/>
        <v>1</v>
      </c>
    </row>
    <row r="10" spans="1:29" s="1292" customFormat="1" ht="27">
      <c r="A10" s="2632"/>
      <c r="B10" s="2637" t="s">
        <v>2733</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06"/>
      <c r="Q10" s="1134" t="str">
        <f t="shared" si="6"/>
        <v>土地使用年限（年）</v>
      </c>
      <c r="R10" s="1503" t="s">
        <v>8</v>
      </c>
      <c r="S10" s="1504">
        <f t="shared" si="0"/>
        <v>100</v>
      </c>
      <c r="T10" s="1503" t="s">
        <v>8</v>
      </c>
      <c r="U10" s="1504">
        <f t="shared" si="1"/>
        <v>100</v>
      </c>
      <c r="V10" s="1503" t="s">
        <v>8</v>
      </c>
      <c r="W10" s="1504">
        <f t="shared" si="2"/>
        <v>100</v>
      </c>
      <c r="X10" s="1505"/>
      <c r="Y10" s="3452"/>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06"/>
      <c r="Q11" s="1134">
        <f t="shared" si="6"/>
        <v>111</v>
      </c>
      <c r="R11" s="1503" t="s">
        <v>8</v>
      </c>
      <c r="S11" s="1504">
        <f t="shared" si="0"/>
        <v>100</v>
      </c>
      <c r="T11" s="1503" t="s">
        <v>8</v>
      </c>
      <c r="U11" s="1504">
        <f t="shared" si="1"/>
        <v>100</v>
      </c>
      <c r="V11" s="1503" t="s">
        <v>8</v>
      </c>
      <c r="W11" s="1504">
        <f t="shared" si="2"/>
        <v>100</v>
      </c>
      <c r="X11" s="1505"/>
      <c r="Y11" s="3452"/>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06"/>
      <c r="Q12" s="1134">
        <f t="shared" si="6"/>
        <v>111</v>
      </c>
      <c r="R12" s="1503" t="s">
        <v>8</v>
      </c>
      <c r="S12" s="1504">
        <f t="shared" si="0"/>
        <v>100</v>
      </c>
      <c r="T12" s="1503" t="s">
        <v>8</v>
      </c>
      <c r="U12" s="1504">
        <f t="shared" si="1"/>
        <v>100</v>
      </c>
      <c r="V12" s="1503" t="s">
        <v>8</v>
      </c>
      <c r="W12" s="1504">
        <f t="shared" si="2"/>
        <v>100</v>
      </c>
      <c r="X12" s="1505"/>
      <c r="Y12" s="3452"/>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06"/>
      <c r="Q13" s="1134">
        <f t="shared" si="6"/>
        <v>111</v>
      </c>
      <c r="R13" s="1503" t="s">
        <v>8</v>
      </c>
      <c r="S13" s="1504">
        <f t="shared" si="0"/>
        <v>100</v>
      </c>
      <c r="T13" s="1503" t="s">
        <v>8</v>
      </c>
      <c r="U13" s="1504">
        <f t="shared" si="1"/>
        <v>100</v>
      </c>
      <c r="V13" s="1503" t="s">
        <v>8</v>
      </c>
      <c r="W13" s="1504">
        <f t="shared" si="2"/>
        <v>100</v>
      </c>
      <c r="X13" s="1505"/>
      <c r="Y13" s="3452"/>
      <c r="Z13" s="1133">
        <f t="shared" si="7"/>
        <v>111</v>
      </c>
      <c r="AA13" s="1506">
        <f t="shared" si="3"/>
        <v>1</v>
      </c>
      <c r="AB13" s="1506">
        <f t="shared" si="4"/>
        <v>1</v>
      </c>
      <c r="AC13" s="1506">
        <f t="shared" si="5"/>
        <v>1</v>
      </c>
    </row>
    <row r="14" spans="1:29" ht="15">
      <c r="A14" s="2627" t="s">
        <v>2730</v>
      </c>
      <c r="B14" s="541" t="s">
        <v>537</v>
      </c>
      <c r="C14" s="910" t="str">
        <f>IF(B1="工业",估价对象房地状况!G4,估价对象房地状况!C6)</f>
        <v>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2" t="s">
        <v>534</v>
      </c>
      <c r="Q14" s="1507" t="str">
        <f t="shared" si="6"/>
        <v>交通便捷度</v>
      </c>
      <c r="R14" s="1508" t="s">
        <v>8</v>
      </c>
      <c r="S14" s="1509">
        <f t="shared" si="0"/>
        <v>100</v>
      </c>
      <c r="T14" s="1508" t="s">
        <v>8</v>
      </c>
      <c r="U14" s="1509">
        <f t="shared" si="1"/>
        <v>100</v>
      </c>
      <c r="V14" s="1508" t="s">
        <v>8</v>
      </c>
      <c r="W14" s="1509">
        <f t="shared" si="2"/>
        <v>100</v>
      </c>
      <c r="X14" s="1502"/>
      <c r="Y14" s="3542"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43"/>
      <c r="Q15" s="1507"/>
      <c r="R15" s="1508"/>
      <c r="S15" s="1509"/>
      <c r="T15" s="1508"/>
      <c r="U15" s="1509"/>
      <c r="V15" s="1508"/>
      <c r="W15" s="1509"/>
      <c r="X15" s="1502"/>
      <c r="Y15" s="3543"/>
      <c r="Z15" s="1510"/>
      <c r="AA15" s="1511">
        <v>1</v>
      </c>
      <c r="AB15" s="1511">
        <v>1</v>
      </c>
      <c r="AC15" s="1511">
        <v>1</v>
      </c>
    </row>
    <row r="16" spans="1:29" ht="15">
      <c r="A16" s="509"/>
      <c r="B16" s="2447" t="s">
        <v>2523</v>
      </c>
      <c r="C16" s="861" t="str">
        <f>IF(B1="工业",估价对象房地状况!G5,估价对象房地状况!C7)</f>
        <v>一般</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3"/>
      <c r="Q16" s="1507" t="str">
        <f>B16</f>
        <v>公共配套设施</v>
      </c>
      <c r="R16" s="1508" t="s">
        <v>8</v>
      </c>
      <c r="S16" s="1509">
        <f>F16</f>
        <v>100</v>
      </c>
      <c r="T16" s="1508" t="s">
        <v>8</v>
      </c>
      <c r="U16" s="1509">
        <f>H16</f>
        <v>100</v>
      </c>
      <c r="V16" s="1508" t="s">
        <v>8</v>
      </c>
      <c r="W16" s="1509">
        <f>J16</f>
        <v>100</v>
      </c>
      <c r="X16" s="1502"/>
      <c r="Y16" s="3543"/>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43"/>
      <c r="Q17" s="1507"/>
      <c r="R17" s="1508"/>
      <c r="S17" s="1509"/>
      <c r="T17" s="1508"/>
      <c r="U17" s="1509"/>
      <c r="V17" s="1508"/>
      <c r="W17" s="1509"/>
      <c r="X17" s="1502"/>
      <c r="Y17" s="3543"/>
      <c r="Z17" s="1510"/>
      <c r="AA17" s="1511">
        <v>1</v>
      </c>
      <c r="AB17" s="1511">
        <v>1</v>
      </c>
      <c r="AC17" s="1511">
        <v>1</v>
      </c>
    </row>
    <row r="18" spans="1:29" ht="15">
      <c r="A18" s="509"/>
      <c r="B18" s="2435" t="s">
        <v>2535</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3"/>
      <c r="Q18" s="2429" t="str">
        <f>B18</f>
        <v>基础设施水平</v>
      </c>
      <c r="R18" s="1508" t="s">
        <v>8</v>
      </c>
      <c r="S18" s="1509">
        <f>F18</f>
        <v>100</v>
      </c>
      <c r="T18" s="1508" t="s">
        <v>8</v>
      </c>
      <c r="U18" s="1509">
        <f>H18</f>
        <v>100</v>
      </c>
      <c r="V18" s="1508" t="s">
        <v>8</v>
      </c>
      <c r="W18" s="1509">
        <f>J18</f>
        <v>100</v>
      </c>
      <c r="X18" s="2431"/>
      <c r="Y18" s="3543"/>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43"/>
      <c r="Q19" s="2429"/>
      <c r="R19" s="1508"/>
      <c r="S19" s="1509"/>
      <c r="T19" s="1508"/>
      <c r="U19" s="1509"/>
      <c r="V19" s="1508"/>
      <c r="W19" s="1509"/>
      <c r="X19" s="2431"/>
      <c r="Y19" s="3543"/>
      <c r="Z19" s="2430"/>
      <c r="AA19" s="1511">
        <v>1</v>
      </c>
      <c r="AB19" s="1511">
        <v>1</v>
      </c>
      <c r="AC19" s="1511">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3"/>
      <c r="Q20" s="1507" t="str">
        <f>B20</f>
        <v>自然及人文环境</v>
      </c>
      <c r="R20" s="1508" t="s">
        <v>8</v>
      </c>
      <c r="S20" s="1509">
        <f>F20</f>
        <v>100</v>
      </c>
      <c r="T20" s="1508" t="s">
        <v>8</v>
      </c>
      <c r="U20" s="1509">
        <f>H20</f>
        <v>100</v>
      </c>
      <c r="V20" s="1508" t="s">
        <v>8</v>
      </c>
      <c r="W20" s="1509">
        <f>J20</f>
        <v>100</v>
      </c>
      <c r="X20" s="1502"/>
      <c r="Y20" s="3543"/>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43"/>
      <c r="Q21" s="1507"/>
      <c r="R21" s="1508"/>
      <c r="S21" s="1509"/>
      <c r="T21" s="1508"/>
      <c r="U21" s="1509"/>
      <c r="V21" s="1508"/>
      <c r="W21" s="1509"/>
      <c r="X21" s="1502"/>
      <c r="Y21" s="3543"/>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3"/>
      <c r="Q22" s="1507" t="str">
        <f>B22</f>
        <v>楼层</v>
      </c>
      <c r="R22" s="1508" t="s">
        <v>8</v>
      </c>
      <c r="S22" s="1509">
        <f>F22</f>
        <v>100</v>
      </c>
      <c r="T22" s="1508" t="s">
        <v>8</v>
      </c>
      <c r="U22" s="1509">
        <f>H22</f>
        <v>100</v>
      </c>
      <c r="V22" s="1508" t="s">
        <v>8</v>
      </c>
      <c r="W22" s="1509">
        <f>J22</f>
        <v>100</v>
      </c>
      <c r="X22" s="1502"/>
      <c r="Y22" s="3543"/>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3"/>
      <c r="Q23" s="1507">
        <f>B23</f>
        <v>111</v>
      </c>
      <c r="R23" s="1508" t="s">
        <v>8</v>
      </c>
      <c r="S23" s="1509">
        <f>F23</f>
        <v>100</v>
      </c>
      <c r="T23" s="1508" t="s">
        <v>8</v>
      </c>
      <c r="U23" s="1509">
        <f>H23</f>
        <v>100</v>
      </c>
      <c r="V23" s="1508" t="s">
        <v>8</v>
      </c>
      <c r="W23" s="1509">
        <f>J23</f>
        <v>100</v>
      </c>
      <c r="X23" s="1502"/>
      <c r="Y23" s="3543"/>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3"/>
      <c r="Q24" s="1507">
        <f t="shared" ref="Q24:Q36" si="11">B24</f>
        <v>111</v>
      </c>
      <c r="R24" s="1508" t="s">
        <v>8</v>
      </c>
      <c r="S24" s="1509">
        <f>F24</f>
        <v>100</v>
      </c>
      <c r="T24" s="1508" t="s">
        <v>8</v>
      </c>
      <c r="U24" s="1509">
        <f>H24</f>
        <v>100</v>
      </c>
      <c r="V24" s="1508" t="s">
        <v>8</v>
      </c>
      <c r="W24" s="1509">
        <f>J24</f>
        <v>100</v>
      </c>
      <c r="X24" s="1502"/>
      <c r="Y24" s="3543"/>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3"/>
      <c r="Q25" s="1134">
        <f t="shared" si="11"/>
        <v>111</v>
      </c>
      <c r="R25" s="1503" t="s">
        <v>8</v>
      </c>
      <c r="S25" s="1504">
        <f>F25</f>
        <v>100</v>
      </c>
      <c r="T25" s="1503" t="s">
        <v>8</v>
      </c>
      <c r="U25" s="1504">
        <f>H25</f>
        <v>100</v>
      </c>
      <c r="V25" s="1503" t="s">
        <v>8</v>
      </c>
      <c r="W25" s="1504">
        <f>J25</f>
        <v>100</v>
      </c>
      <c r="X25" s="1505"/>
      <c r="Y25" s="3543"/>
      <c r="Z25" s="1133">
        <f>Q25</f>
        <v>111</v>
      </c>
      <c r="AA25" s="1511">
        <f>D25/F25</f>
        <v>1</v>
      </c>
      <c r="AB25" s="1511">
        <f>D25/H25</f>
        <v>1</v>
      </c>
      <c r="AC25" s="1511">
        <f>D25/J25</f>
        <v>1</v>
      </c>
    </row>
    <row r="26" spans="1:29" ht="15">
      <c r="A26" s="2624" t="s">
        <v>2731</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4"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45"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45"/>
      <c r="Q27" s="1536" t="str">
        <f t="shared" si="11"/>
        <v>项目停车位配比</v>
      </c>
      <c r="R27" s="1512" t="s">
        <v>8</v>
      </c>
      <c r="S27" s="1513">
        <f t="shared" si="12"/>
        <v>100</v>
      </c>
      <c r="T27" s="1512" t="s">
        <v>8</v>
      </c>
      <c r="U27" s="1513">
        <f t="shared" si="13"/>
        <v>100</v>
      </c>
      <c r="V27" s="1512" t="s">
        <v>8</v>
      </c>
      <c r="W27" s="1513">
        <f t="shared" si="14"/>
        <v>100</v>
      </c>
      <c r="X27" s="1514"/>
      <c r="Y27" s="3545"/>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5"/>
      <c r="Q28" s="1507" t="str">
        <f t="shared" si="11"/>
        <v>公共部分装修</v>
      </c>
      <c r="R28" s="1508" t="s">
        <v>8</v>
      </c>
      <c r="S28" s="1509">
        <f t="shared" si="12"/>
        <v>100</v>
      </c>
      <c r="T28" s="1508" t="s">
        <v>8</v>
      </c>
      <c r="U28" s="1509">
        <f t="shared" si="13"/>
        <v>100</v>
      </c>
      <c r="V28" s="1508" t="s">
        <v>8</v>
      </c>
      <c r="W28" s="1509">
        <f t="shared" si="14"/>
        <v>100</v>
      </c>
      <c r="X28" s="1502"/>
      <c r="Y28" s="3545"/>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45"/>
      <c r="Q29" s="1507" t="str">
        <f t="shared" si="11"/>
        <v>成新率</v>
      </c>
      <c r="R29" s="1508" t="s">
        <v>8</v>
      </c>
      <c r="S29" s="1509" t="e">
        <f t="shared" si="12"/>
        <v>#N/A</v>
      </c>
      <c r="T29" s="1508" t="s">
        <v>8</v>
      </c>
      <c r="U29" s="1509" t="e">
        <f t="shared" si="13"/>
        <v>#N/A</v>
      </c>
      <c r="V29" s="1508" t="s">
        <v>8</v>
      </c>
      <c r="W29" s="1509" t="e">
        <f t="shared" si="14"/>
        <v>#N/A</v>
      </c>
      <c r="X29" s="1502"/>
      <c r="Y29" s="3545"/>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45"/>
      <c r="Q30" s="1507" t="str">
        <f t="shared" si="11"/>
        <v>物业等级</v>
      </c>
      <c r="R30" s="1508" t="s">
        <v>8</v>
      </c>
      <c r="S30" s="1509">
        <f t="shared" si="12"/>
        <v>100</v>
      </c>
      <c r="T30" s="1508" t="s">
        <v>8</v>
      </c>
      <c r="U30" s="1509">
        <f t="shared" si="13"/>
        <v>100</v>
      </c>
      <c r="V30" s="1508" t="s">
        <v>8</v>
      </c>
      <c r="W30" s="1509">
        <f t="shared" si="14"/>
        <v>100</v>
      </c>
      <c r="X30" s="1502"/>
      <c r="Y30" s="3545"/>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45"/>
      <c r="Q31" s="1134" t="str">
        <f t="shared" si="11"/>
        <v>停车位面积</v>
      </c>
      <c r="R31" s="1503" t="s">
        <v>8</v>
      </c>
      <c r="S31" s="1504" t="e">
        <f t="shared" si="12"/>
        <v>#N/A</v>
      </c>
      <c r="T31" s="1503" t="s">
        <v>8</v>
      </c>
      <c r="U31" s="1504" t="e">
        <f t="shared" si="13"/>
        <v>#N/A</v>
      </c>
      <c r="V31" s="1503" t="s">
        <v>8</v>
      </c>
      <c r="W31" s="1504" t="e">
        <f t="shared" si="14"/>
        <v>#N/A</v>
      </c>
      <c r="X31" s="1505"/>
      <c r="Y31" s="3545"/>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5" t="s">
        <v>544</v>
      </c>
      <c r="Q32" s="1507" t="str">
        <f t="shared" si="11"/>
        <v>车位类型</v>
      </c>
      <c r="R32" s="1508" t="s">
        <v>8</v>
      </c>
      <c r="S32" s="1509">
        <f t="shared" si="12"/>
        <v>100</v>
      </c>
      <c r="T32" s="1508" t="s">
        <v>8</v>
      </c>
      <c r="U32" s="1509">
        <f t="shared" si="13"/>
        <v>100</v>
      </c>
      <c r="V32" s="1508" t="s">
        <v>8</v>
      </c>
      <c r="W32" s="1509">
        <f t="shared" si="14"/>
        <v>100</v>
      </c>
      <c r="X32" s="1502"/>
      <c r="Y32" s="3545"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5"/>
      <c r="Q33" s="1507" t="str">
        <f t="shared" si="11"/>
        <v>是否直接入户</v>
      </c>
      <c r="R33" s="1508" t="s">
        <v>8</v>
      </c>
      <c r="S33" s="1509">
        <f t="shared" si="12"/>
        <v>100</v>
      </c>
      <c r="T33" s="1508" t="s">
        <v>8</v>
      </c>
      <c r="U33" s="1509">
        <f t="shared" si="13"/>
        <v>100</v>
      </c>
      <c r="V33" s="1508" t="s">
        <v>8</v>
      </c>
      <c r="W33" s="1509">
        <f t="shared" si="14"/>
        <v>100</v>
      </c>
      <c r="X33" s="1502"/>
      <c r="Y33" s="3545"/>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5"/>
      <c r="Q34" s="1507">
        <f t="shared" si="11"/>
        <v>111</v>
      </c>
      <c r="R34" s="1508" t="s">
        <v>8</v>
      </c>
      <c r="S34" s="1509">
        <f t="shared" si="12"/>
        <v>100</v>
      </c>
      <c r="T34" s="1508" t="s">
        <v>8</v>
      </c>
      <c r="U34" s="1509">
        <f t="shared" si="13"/>
        <v>100</v>
      </c>
      <c r="V34" s="1508" t="s">
        <v>8</v>
      </c>
      <c r="W34" s="1509">
        <f t="shared" si="14"/>
        <v>100</v>
      </c>
      <c r="X34" s="1502"/>
      <c r="Y34" s="3545"/>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5"/>
      <c r="Q35" s="1536">
        <f t="shared" si="11"/>
        <v>111</v>
      </c>
      <c r="R35" s="1512" t="s">
        <v>8</v>
      </c>
      <c r="S35" s="1513">
        <f t="shared" si="12"/>
        <v>100</v>
      </c>
      <c r="T35" s="1512" t="s">
        <v>8</v>
      </c>
      <c r="U35" s="1513">
        <f t="shared" si="13"/>
        <v>100</v>
      </c>
      <c r="V35" s="1512" t="s">
        <v>8</v>
      </c>
      <c r="W35" s="1513">
        <f t="shared" si="14"/>
        <v>100</v>
      </c>
      <c r="X35" s="1514"/>
      <c r="Y35" s="3545"/>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5"/>
      <c r="Q36" s="1507">
        <f t="shared" si="11"/>
        <v>111</v>
      </c>
      <c r="R36" s="1508" t="s">
        <v>8</v>
      </c>
      <c r="S36" s="1509">
        <f t="shared" si="12"/>
        <v>100</v>
      </c>
      <c r="T36" s="1508" t="s">
        <v>8</v>
      </c>
      <c r="U36" s="1509">
        <f t="shared" si="13"/>
        <v>100</v>
      </c>
      <c r="V36" s="1508" t="s">
        <v>8</v>
      </c>
      <c r="W36" s="1509">
        <f t="shared" si="14"/>
        <v>100</v>
      </c>
      <c r="X36" s="1502"/>
      <c r="Y36" s="3545"/>
      <c r="Z36" s="1510">
        <f t="shared" si="15"/>
        <v>111</v>
      </c>
      <c r="AA36" s="1511">
        <f t="shared" si="3"/>
        <v>1</v>
      </c>
      <c r="AB36" s="1511">
        <f t="shared" si="4"/>
        <v>1</v>
      </c>
      <c r="AC36" s="1511">
        <f t="shared" si="5"/>
        <v>1</v>
      </c>
    </row>
    <row r="37" spans="1:29" ht="15">
      <c r="A37" s="1760" t="s">
        <v>2063</v>
      </c>
      <c r="B37" s="1761" t="s">
        <v>2064</v>
      </c>
      <c r="C37" s="2470" t="s">
        <v>1</v>
      </c>
      <c r="D37" s="2471"/>
      <c r="E37" s="2472"/>
      <c r="F37" s="2473"/>
      <c r="G37" s="2474"/>
      <c r="H37" s="2475"/>
      <c r="I37" s="2472"/>
      <c r="J37" s="2475"/>
      <c r="K37" s="1541"/>
      <c r="L37" s="2026"/>
      <c r="M37" s="2027"/>
      <c r="N37" s="2016"/>
      <c r="O37" s="2027"/>
      <c r="P37" s="3506" t="str">
        <f>A37</f>
        <v>成交单价</v>
      </c>
      <c r="Q37" s="3506"/>
      <c r="R37" s="3626">
        <f>E37</f>
        <v>0</v>
      </c>
      <c r="S37" s="3626"/>
      <c r="T37" s="3626">
        <f>G37</f>
        <v>0</v>
      </c>
      <c r="U37" s="3626"/>
      <c r="V37" s="3626">
        <f>I37</f>
        <v>0</v>
      </c>
      <c r="W37" s="3626"/>
      <c r="X37" s="1497"/>
      <c r="Y37" s="1516"/>
      <c r="Z37" s="1497"/>
      <c r="AA37" s="1497"/>
      <c r="AB37" s="1497"/>
      <c r="AC37" s="1497"/>
    </row>
    <row r="38" spans="1:29" ht="15.75" thickBot="1">
      <c r="A38" s="609" t="s">
        <v>2736</v>
      </c>
      <c r="B38" s="877"/>
      <c r="C38" s="2476" t="e">
        <f>R39</f>
        <v>#DIV/0!</v>
      </c>
      <c r="D38" s="3014" t="s">
        <v>2954</v>
      </c>
      <c r="E38" s="2477" t="e">
        <f>R38</f>
        <v>#DIV/0!</v>
      </c>
      <c r="F38" s="3015"/>
      <c r="G38" s="2476" t="e">
        <f>T38</f>
        <v>#DIV/0!</v>
      </c>
      <c r="H38" s="3015"/>
      <c r="I38" s="2477" t="e">
        <f>V38</f>
        <v>#DIV/0!</v>
      </c>
      <c r="J38" s="3015"/>
      <c r="K38" s="3023">
        <f>F38+H38+J38</f>
        <v>0</v>
      </c>
      <c r="L38" s="2026"/>
      <c r="M38" s="2027"/>
      <c r="N38" s="2027"/>
      <c r="O38" s="2027"/>
      <c r="P38" s="3506" t="str">
        <f>A38</f>
        <v>比较价格（元/平方米）</v>
      </c>
      <c r="Q38" s="3506"/>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1497"/>
      <c r="Y38" s="1497"/>
      <c r="Z38" s="1497"/>
      <c r="AA38" s="1497"/>
      <c r="AB38" s="1497"/>
      <c r="AC38" s="1497"/>
    </row>
    <row r="39" spans="1:29" ht="15.75" thickBot="1">
      <c r="A39" s="613" t="s">
        <v>2886</v>
      </c>
      <c r="B39" s="614"/>
      <c r="C39" s="2478" t="e">
        <f>R39</f>
        <v>#DIV/0!</v>
      </c>
      <c r="D39" s="2478"/>
      <c r="E39" s="2478"/>
      <c r="F39" s="2478"/>
      <c r="G39" s="2478"/>
      <c r="H39" s="2478"/>
      <c r="I39" s="2478"/>
      <c r="J39" s="2478"/>
      <c r="K39" s="1542"/>
      <c r="L39" s="2026"/>
      <c r="M39" s="2027"/>
      <c r="N39" s="2027"/>
      <c r="O39" s="2027"/>
      <c r="P39" s="3503" t="str">
        <f>A39</f>
        <v>估价对象XX用房的比较价格（楼面单价，元/平方米）</v>
      </c>
      <c r="Q39" s="3504"/>
      <c r="R39" s="3625" t="e">
        <f>IF(F1="售价",ROUND(IF(D38="简单平均",AVERAGE(R38:W38),R38*F38+T38*H38+V38*J38),0),ROUND(IF(D38="简单平均",AVERAGE(R38:V38),R38*F38+T38*H38+V38*J38),1))</f>
        <v>#DIV/0!</v>
      </c>
      <c r="S39" s="3625"/>
      <c r="T39" s="3625"/>
      <c r="U39" s="3625"/>
      <c r="V39" s="3625"/>
      <c r="W39" s="3625"/>
      <c r="X39" s="1497"/>
      <c r="Y39" s="1497"/>
      <c r="Z39" s="1497"/>
      <c r="AA39" s="1497"/>
      <c r="AB39" s="1497"/>
      <c r="AC39" s="1497"/>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2020-12</v>
      </c>
      <c r="D48" s="2521">
        <f>EDATE(C48,-1)</f>
        <v>44136</v>
      </c>
      <c r="E48" s="2521">
        <f t="shared" ref="E48:O48" si="16">EDATE(D48,-1)</f>
        <v>44105</v>
      </c>
      <c r="F48" s="2521">
        <f t="shared" si="16"/>
        <v>44075</v>
      </c>
      <c r="G48" s="2521">
        <f t="shared" si="16"/>
        <v>44044</v>
      </c>
      <c r="H48" s="2521">
        <f t="shared" si="16"/>
        <v>44013</v>
      </c>
      <c r="I48" s="2521">
        <f t="shared" si="16"/>
        <v>43983</v>
      </c>
      <c r="J48" s="2521">
        <f t="shared" si="16"/>
        <v>43952</v>
      </c>
      <c r="K48" s="2521">
        <f t="shared" si="16"/>
        <v>43922</v>
      </c>
      <c r="L48" s="2521">
        <f t="shared" si="16"/>
        <v>43891</v>
      </c>
      <c r="M48" s="2521">
        <f t="shared" si="16"/>
        <v>43862</v>
      </c>
      <c r="N48" s="2521">
        <f t="shared" si="16"/>
        <v>43831</v>
      </c>
      <c r="O48" s="2521">
        <f t="shared" si="16"/>
        <v>43800</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2534</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2535</v>
      </c>
      <c r="C67" s="2442" t="s">
        <v>2536</v>
      </c>
      <c r="D67" s="2442" t="s">
        <v>2537</v>
      </c>
      <c r="E67" s="2442" t="s">
        <v>2538</v>
      </c>
      <c r="F67" s="2442" t="s">
        <v>2539</v>
      </c>
      <c r="G67" s="2442" t="s">
        <v>2540</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38"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view="pageBreakPreview" zoomScale="60" zoomScaleNormal="60" workbookViewId="0">
      <selection activeCell="J38" sqref="J38"/>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12" t="s">
        <v>792</v>
      </c>
      <c r="D4" s="3513"/>
      <c r="E4" s="3548" t="s">
        <v>793</v>
      </c>
      <c r="F4" s="3549"/>
      <c r="G4" s="3512" t="s">
        <v>794</v>
      </c>
      <c r="H4" s="3513"/>
      <c r="I4" s="3512" t="s">
        <v>795</v>
      </c>
      <c r="J4" s="3513"/>
      <c r="K4" s="508" t="s">
        <v>796</v>
      </c>
      <c r="L4" s="2015"/>
      <c r="M4" s="2016"/>
      <c r="N4" s="2016"/>
      <c r="O4" s="2016"/>
      <c r="P4" s="3514" t="s">
        <v>797</v>
      </c>
      <c r="Q4" s="3515"/>
      <c r="R4" s="3520" t="s">
        <v>793</v>
      </c>
      <c r="S4" s="3521"/>
      <c r="T4" s="3520" t="s">
        <v>794</v>
      </c>
      <c r="U4" s="3521"/>
      <c r="V4" s="3507" t="s">
        <v>795</v>
      </c>
      <c r="W4" s="3507"/>
      <c r="X4" s="1502"/>
      <c r="Y4" s="3520" t="s">
        <v>797</v>
      </c>
      <c r="Z4" s="3521"/>
      <c r="AA4" s="3509" t="s">
        <v>793</v>
      </c>
      <c r="AB4" s="3510" t="s">
        <v>794</v>
      </c>
      <c r="AC4" s="3509" t="s">
        <v>795</v>
      </c>
    </row>
    <row r="5" spans="1:29" ht="15">
      <c r="A5" s="509"/>
      <c r="B5" s="510"/>
      <c r="C5" s="3528" t="s">
        <v>2880</v>
      </c>
      <c r="D5" s="3529"/>
      <c r="E5" s="3550" t="s">
        <v>2881</v>
      </c>
      <c r="F5" s="3551"/>
      <c r="G5" s="3528" t="s">
        <v>2882</v>
      </c>
      <c r="H5" s="3529"/>
      <c r="I5" s="3528" t="s">
        <v>2883</v>
      </c>
      <c r="J5" s="3529"/>
      <c r="K5" s="508"/>
      <c r="L5" s="2015"/>
      <c r="M5" s="2016"/>
      <c r="N5" s="2016"/>
      <c r="O5" s="2016"/>
      <c r="P5" s="3516"/>
      <c r="Q5" s="3517"/>
      <c r="R5" s="3522"/>
      <c r="S5" s="3523"/>
      <c r="T5" s="3522"/>
      <c r="U5" s="3523"/>
      <c r="V5" s="3507"/>
      <c r="W5" s="3507"/>
      <c r="X5" s="1502"/>
      <c r="Y5" s="3522"/>
      <c r="Z5" s="3523"/>
      <c r="AA5" s="3510"/>
      <c r="AB5" s="3510"/>
      <c r="AC5" s="3510"/>
    </row>
    <row r="6" spans="1:29" ht="15.75" thickBot="1">
      <c r="A6" s="511"/>
      <c r="B6" s="512"/>
      <c r="C6" s="3526" t="s">
        <v>2884</v>
      </c>
      <c r="D6" s="3527"/>
      <c r="E6" s="3546" t="s">
        <v>2884</v>
      </c>
      <c r="F6" s="3547"/>
      <c r="G6" s="3526" t="s">
        <v>2884</v>
      </c>
      <c r="H6" s="3527"/>
      <c r="I6" s="3526" t="s">
        <v>2884</v>
      </c>
      <c r="J6" s="3527"/>
      <c r="K6" s="508" t="s">
        <v>522</v>
      </c>
      <c r="L6" s="2015"/>
      <c r="M6" s="2016"/>
      <c r="N6" s="2016"/>
      <c r="O6" s="2016"/>
      <c r="P6" s="3518"/>
      <c r="Q6" s="3519"/>
      <c r="R6" s="3522"/>
      <c r="S6" s="3523"/>
      <c r="T6" s="3524"/>
      <c r="U6" s="3525"/>
      <c r="V6" s="3507"/>
      <c r="W6" s="3507"/>
      <c r="X6" s="1502"/>
      <c r="Y6" s="3524"/>
      <c r="Z6" s="3525"/>
      <c r="AA6" s="3511"/>
      <c r="AB6" s="3511"/>
      <c r="AC6" s="3511"/>
    </row>
    <row r="7" spans="1:29" s="1203" customFormat="1" ht="15.75" thickBot="1">
      <c r="A7" s="2629"/>
      <c r="B7" s="2636" t="s">
        <v>523</v>
      </c>
      <c r="C7" s="513">
        <f>'数据-取费表'!B2</f>
        <v>44166</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39" t="s">
        <v>524</v>
      </c>
      <c r="Q7" s="3541"/>
      <c r="R7" s="1503" t="s">
        <v>8</v>
      </c>
      <c r="S7" s="1504">
        <f t="shared" ref="S7:S14" si="0">F7</f>
        <v>0</v>
      </c>
      <c r="T7" s="1503" t="s">
        <v>8</v>
      </c>
      <c r="U7" s="1504">
        <f t="shared" ref="U7:U14" si="1">H7</f>
        <v>0</v>
      </c>
      <c r="V7" s="1503" t="s">
        <v>8</v>
      </c>
      <c r="W7" s="1504">
        <f t="shared" ref="W7:W14" si="2">J7</f>
        <v>0</v>
      </c>
      <c r="X7" s="1505"/>
      <c r="Y7" s="3539" t="s">
        <v>524</v>
      </c>
      <c r="Z7" s="3540"/>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39" t="s">
        <v>527</v>
      </c>
      <c r="Q8" s="3540"/>
      <c r="R8" s="1503" t="s">
        <v>8</v>
      </c>
      <c r="S8" s="1504">
        <f t="shared" si="0"/>
        <v>0</v>
      </c>
      <c r="T8" s="1503" t="s">
        <v>8</v>
      </c>
      <c r="U8" s="1504">
        <f t="shared" si="1"/>
        <v>0</v>
      </c>
      <c r="V8" s="1503" t="s">
        <v>8</v>
      </c>
      <c r="W8" s="1504">
        <f t="shared" si="2"/>
        <v>0</v>
      </c>
      <c r="X8" s="1505"/>
      <c r="Y8" s="3539" t="s">
        <v>527</v>
      </c>
      <c r="Z8" s="3540"/>
      <c r="AA8" s="1506" t="e">
        <f t="shared" ref="AA8:AA34" si="3">D8/F8</f>
        <v>#DIV/0!</v>
      </c>
      <c r="AB8" s="1506" t="e">
        <f t="shared" ref="AB8:AB34" si="4">D8/H8</f>
        <v>#DIV/0!</v>
      </c>
      <c r="AC8" s="1506" t="e">
        <f t="shared" ref="AC8:AC34" si="5">D8/J8</f>
        <v>#DIV/0!</v>
      </c>
    </row>
    <row r="9" spans="1:29" s="1203" customFormat="1" ht="15">
      <c r="A9" s="2631"/>
      <c r="B9" s="2638" t="s">
        <v>2732</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06" t="s">
        <v>529</v>
      </c>
      <c r="Q9" s="1134" t="str">
        <f t="shared" ref="Q9:Q14" si="6">B9</f>
        <v>用途</v>
      </c>
      <c r="R9" s="1503" t="s">
        <v>8</v>
      </c>
      <c r="S9" s="1504">
        <f t="shared" si="0"/>
        <v>100</v>
      </c>
      <c r="T9" s="1503" t="s">
        <v>8</v>
      </c>
      <c r="U9" s="1504">
        <f t="shared" si="1"/>
        <v>100</v>
      </c>
      <c r="V9" s="1503" t="s">
        <v>8</v>
      </c>
      <c r="W9" s="1504">
        <f t="shared" si="2"/>
        <v>100</v>
      </c>
      <c r="X9" s="1505"/>
      <c r="Y9" s="3452" t="s">
        <v>530</v>
      </c>
      <c r="Z9" s="1133" t="str">
        <f t="shared" ref="Z9:Z14" si="7">Q9</f>
        <v>用途</v>
      </c>
      <c r="AA9" s="1506">
        <f t="shared" si="3"/>
        <v>1</v>
      </c>
      <c r="AB9" s="1506">
        <f t="shared" si="4"/>
        <v>1</v>
      </c>
      <c r="AC9" s="1506">
        <f t="shared" si="5"/>
        <v>1</v>
      </c>
    </row>
    <row r="10" spans="1:29" s="1292" customFormat="1" ht="27">
      <c r="A10" s="2632"/>
      <c r="B10" s="2637" t="s">
        <v>2733</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06"/>
      <c r="Q10" s="1134" t="str">
        <f t="shared" si="6"/>
        <v>土地使用年限（年）</v>
      </c>
      <c r="R10" s="1503" t="s">
        <v>8</v>
      </c>
      <c r="S10" s="1504">
        <f t="shared" si="0"/>
        <v>100</v>
      </c>
      <c r="T10" s="1503" t="s">
        <v>8</v>
      </c>
      <c r="U10" s="1504">
        <f t="shared" si="1"/>
        <v>100</v>
      </c>
      <c r="V10" s="1503" t="s">
        <v>8</v>
      </c>
      <c r="W10" s="1504">
        <f t="shared" si="2"/>
        <v>100</v>
      </c>
      <c r="X10" s="1505"/>
      <c r="Y10" s="3452"/>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06"/>
      <c r="Q11" s="1134">
        <f t="shared" si="6"/>
        <v>111</v>
      </c>
      <c r="R11" s="1503" t="s">
        <v>8</v>
      </c>
      <c r="S11" s="1504">
        <f t="shared" si="0"/>
        <v>100</v>
      </c>
      <c r="T11" s="1503" t="s">
        <v>8</v>
      </c>
      <c r="U11" s="1504">
        <f t="shared" si="1"/>
        <v>100</v>
      </c>
      <c r="V11" s="1503" t="s">
        <v>8</v>
      </c>
      <c r="W11" s="1504">
        <f t="shared" si="2"/>
        <v>100</v>
      </c>
      <c r="X11" s="1505"/>
      <c r="Y11" s="3452"/>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06"/>
      <c r="Q12" s="1134">
        <f t="shared" si="6"/>
        <v>111</v>
      </c>
      <c r="R12" s="1503" t="s">
        <v>8</v>
      </c>
      <c r="S12" s="1504">
        <f t="shared" si="0"/>
        <v>100</v>
      </c>
      <c r="T12" s="1503" t="s">
        <v>8</v>
      </c>
      <c r="U12" s="1504">
        <f t="shared" si="1"/>
        <v>100</v>
      </c>
      <c r="V12" s="1503" t="s">
        <v>8</v>
      </c>
      <c r="W12" s="1504">
        <f t="shared" si="2"/>
        <v>100</v>
      </c>
      <c r="X12" s="1505"/>
      <c r="Y12" s="3452"/>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06"/>
      <c r="Q13" s="1134">
        <f t="shared" si="6"/>
        <v>111</v>
      </c>
      <c r="R13" s="1503" t="s">
        <v>8</v>
      </c>
      <c r="S13" s="1504">
        <f t="shared" si="0"/>
        <v>100</v>
      </c>
      <c r="T13" s="1503" t="s">
        <v>8</v>
      </c>
      <c r="U13" s="1504">
        <f t="shared" si="1"/>
        <v>100</v>
      </c>
      <c r="V13" s="1503" t="s">
        <v>8</v>
      </c>
      <c r="W13" s="1504">
        <f t="shared" si="2"/>
        <v>100</v>
      </c>
      <c r="X13" s="1505"/>
      <c r="Y13" s="3452"/>
      <c r="Z13" s="1133">
        <f t="shared" si="7"/>
        <v>111</v>
      </c>
      <c r="AA13" s="1506">
        <f t="shared" si="3"/>
        <v>1</v>
      </c>
      <c r="AB13" s="1506">
        <f t="shared" si="4"/>
        <v>1</v>
      </c>
      <c r="AC13" s="1506">
        <f t="shared" si="5"/>
        <v>1</v>
      </c>
    </row>
    <row r="14" spans="1:29" ht="15">
      <c r="A14" s="2627" t="s">
        <v>2730</v>
      </c>
      <c r="B14" s="164" t="s">
        <v>537</v>
      </c>
      <c r="C14" s="910" t="str">
        <f>IF(B1="工业",估价对象房地状况!G4,估价对象房地状况!C6)</f>
        <v>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2" t="s">
        <v>534</v>
      </c>
      <c r="Q14" s="1507" t="str">
        <f t="shared" si="6"/>
        <v>交通便捷度</v>
      </c>
      <c r="R14" s="1508" t="s">
        <v>8</v>
      </c>
      <c r="S14" s="1509">
        <f t="shared" si="0"/>
        <v>100</v>
      </c>
      <c r="T14" s="1508" t="s">
        <v>8</v>
      </c>
      <c r="U14" s="1509">
        <f t="shared" si="1"/>
        <v>100</v>
      </c>
      <c r="V14" s="1508" t="s">
        <v>8</v>
      </c>
      <c r="W14" s="1509">
        <f t="shared" si="2"/>
        <v>100</v>
      </c>
      <c r="X14" s="1502"/>
      <c r="Y14" s="3542"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43"/>
      <c r="Q15" s="1507"/>
      <c r="R15" s="1508"/>
      <c r="S15" s="1509"/>
      <c r="T15" s="1508"/>
      <c r="U15" s="1509"/>
      <c r="V15" s="1508"/>
      <c r="W15" s="1509"/>
      <c r="X15" s="1502"/>
      <c r="Y15" s="3543"/>
      <c r="Z15" s="1510"/>
      <c r="AA15" s="1511">
        <v>1</v>
      </c>
      <c r="AB15" s="1511">
        <v>1</v>
      </c>
      <c r="AC15" s="1511">
        <v>1</v>
      </c>
    </row>
    <row r="16" spans="1:29" ht="15">
      <c r="A16" s="526"/>
      <c r="B16" s="2447" t="s">
        <v>2523</v>
      </c>
      <c r="C16" s="861"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3"/>
      <c r="Q16" s="1507" t="str">
        <f>B16</f>
        <v>公共配套设施</v>
      </c>
      <c r="R16" s="1508" t="s">
        <v>8</v>
      </c>
      <c r="S16" s="1509">
        <f>F16</f>
        <v>100</v>
      </c>
      <c r="T16" s="1508" t="s">
        <v>8</v>
      </c>
      <c r="U16" s="1509">
        <f>H16</f>
        <v>100</v>
      </c>
      <c r="V16" s="1508" t="s">
        <v>8</v>
      </c>
      <c r="W16" s="1509">
        <f>J16</f>
        <v>100</v>
      </c>
      <c r="X16" s="1502"/>
      <c r="Y16" s="3543"/>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43"/>
      <c r="Q17" s="1507"/>
      <c r="R17" s="1508"/>
      <c r="S17" s="1509"/>
      <c r="T17" s="1508"/>
      <c r="U17" s="1509"/>
      <c r="V17" s="1508"/>
      <c r="W17" s="1509"/>
      <c r="X17" s="1502"/>
      <c r="Y17" s="3543"/>
      <c r="Z17" s="1510"/>
      <c r="AA17" s="1511">
        <v>1</v>
      </c>
      <c r="AB17" s="1511">
        <v>1</v>
      </c>
      <c r="AC17" s="1511">
        <v>1</v>
      </c>
    </row>
    <row r="18" spans="1:29" ht="15">
      <c r="A18" s="526"/>
      <c r="B18" s="2435" t="s">
        <v>2535</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3"/>
      <c r="Q18" s="2429" t="str">
        <f>B18</f>
        <v>基础设施水平</v>
      </c>
      <c r="R18" s="1508" t="s">
        <v>8</v>
      </c>
      <c r="S18" s="1509">
        <f>F18</f>
        <v>100</v>
      </c>
      <c r="T18" s="1508" t="s">
        <v>8</v>
      </c>
      <c r="U18" s="1509">
        <f>H18</f>
        <v>100</v>
      </c>
      <c r="V18" s="1508" t="s">
        <v>8</v>
      </c>
      <c r="W18" s="1509">
        <f>J18</f>
        <v>100</v>
      </c>
      <c r="X18" s="2431"/>
      <c r="Y18" s="3543"/>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43"/>
      <c r="Q19" s="2429"/>
      <c r="R19" s="1508"/>
      <c r="S19" s="1509"/>
      <c r="T19" s="1508"/>
      <c r="U19" s="1509"/>
      <c r="V19" s="1508"/>
      <c r="W19" s="1509"/>
      <c r="X19" s="2431"/>
      <c r="Y19" s="3543"/>
      <c r="Z19" s="2430"/>
      <c r="AA19" s="1511">
        <v>1</v>
      </c>
      <c r="AB19" s="1511">
        <v>1</v>
      </c>
      <c r="AC19" s="1511">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3"/>
      <c r="Q20" s="1507" t="str">
        <f>B20</f>
        <v>自然及人文环境</v>
      </c>
      <c r="R20" s="1508" t="s">
        <v>8</v>
      </c>
      <c r="S20" s="1509">
        <f>F20</f>
        <v>100</v>
      </c>
      <c r="T20" s="1508" t="s">
        <v>8</v>
      </c>
      <c r="U20" s="1509">
        <f>H20</f>
        <v>100</v>
      </c>
      <c r="V20" s="1508" t="s">
        <v>8</v>
      </c>
      <c r="W20" s="1509">
        <f>J20</f>
        <v>100</v>
      </c>
      <c r="X20" s="1502"/>
      <c r="Y20" s="3543"/>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43"/>
      <c r="Q21" s="1507"/>
      <c r="R21" s="1508"/>
      <c r="S21" s="1509"/>
      <c r="T21" s="1508"/>
      <c r="U21" s="1509"/>
      <c r="V21" s="1508"/>
      <c r="W21" s="1509"/>
      <c r="X21" s="1502"/>
      <c r="Y21" s="3543"/>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3"/>
      <c r="Q22" s="1507" t="str">
        <f>B22</f>
        <v>楼层</v>
      </c>
      <c r="R22" s="1508" t="s">
        <v>8</v>
      </c>
      <c r="S22" s="1509">
        <f>F22</f>
        <v>100</v>
      </c>
      <c r="T22" s="1508" t="s">
        <v>8</v>
      </c>
      <c r="U22" s="1509">
        <f>H22</f>
        <v>100</v>
      </c>
      <c r="V22" s="1508" t="s">
        <v>8</v>
      </c>
      <c r="W22" s="1509">
        <f>J22</f>
        <v>100</v>
      </c>
      <c r="X22" s="1502"/>
      <c r="Y22" s="3543"/>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3"/>
      <c r="Q23" s="1507">
        <f>B23</f>
        <v>111</v>
      </c>
      <c r="R23" s="1508" t="s">
        <v>8</v>
      </c>
      <c r="S23" s="1509">
        <f>F23</f>
        <v>100</v>
      </c>
      <c r="T23" s="1508" t="s">
        <v>8</v>
      </c>
      <c r="U23" s="1509">
        <f>H23</f>
        <v>100</v>
      </c>
      <c r="V23" s="1508" t="s">
        <v>8</v>
      </c>
      <c r="W23" s="1509">
        <f>J23</f>
        <v>100</v>
      </c>
      <c r="X23" s="1502"/>
      <c r="Y23" s="3543"/>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3"/>
      <c r="Q24" s="1507">
        <f t="shared" ref="Q24:Q34" si="11">B24</f>
        <v>111</v>
      </c>
      <c r="R24" s="1508" t="s">
        <v>8</v>
      </c>
      <c r="S24" s="1509">
        <f>F24</f>
        <v>100</v>
      </c>
      <c r="T24" s="1508" t="s">
        <v>8</v>
      </c>
      <c r="U24" s="1509">
        <f>H24</f>
        <v>100</v>
      </c>
      <c r="V24" s="1508" t="s">
        <v>8</v>
      </c>
      <c r="W24" s="1509">
        <f>J24</f>
        <v>100</v>
      </c>
      <c r="X24" s="1502"/>
      <c r="Y24" s="3543"/>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3"/>
      <c r="Q25" s="1134">
        <f t="shared" si="11"/>
        <v>111</v>
      </c>
      <c r="R25" s="1503" t="s">
        <v>8</v>
      </c>
      <c r="S25" s="1504">
        <f>F25</f>
        <v>100</v>
      </c>
      <c r="T25" s="1503" t="s">
        <v>8</v>
      </c>
      <c r="U25" s="1504">
        <f>H25</f>
        <v>100</v>
      </c>
      <c r="V25" s="1503" t="s">
        <v>8</v>
      </c>
      <c r="W25" s="1504">
        <f>J25</f>
        <v>100</v>
      </c>
      <c r="X25" s="1505"/>
      <c r="Y25" s="3543"/>
      <c r="Z25" s="1133">
        <f>Q25</f>
        <v>111</v>
      </c>
      <c r="AA25" s="1511">
        <f>D25/F25</f>
        <v>1</v>
      </c>
      <c r="AB25" s="1511">
        <f>D25/H25</f>
        <v>1</v>
      </c>
      <c r="AC25" s="1511">
        <f>D25/J25</f>
        <v>1</v>
      </c>
    </row>
    <row r="26" spans="1:29" ht="15">
      <c r="A26" s="2624" t="s">
        <v>2731</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44"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45"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45"/>
      <c r="Q27" s="1536" t="str">
        <f t="shared" si="11"/>
        <v>成新率</v>
      </c>
      <c r="R27" s="1512" t="s">
        <v>8</v>
      </c>
      <c r="S27" s="1513" t="e">
        <f t="shared" si="12"/>
        <v>#N/A</v>
      </c>
      <c r="T27" s="1512" t="s">
        <v>8</v>
      </c>
      <c r="U27" s="1513" t="e">
        <f t="shared" si="13"/>
        <v>#N/A</v>
      </c>
      <c r="V27" s="1512" t="s">
        <v>8</v>
      </c>
      <c r="W27" s="1513" t="e">
        <f t="shared" si="14"/>
        <v>#N/A</v>
      </c>
      <c r="X27" s="1514"/>
      <c r="Y27" s="3545"/>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5"/>
      <c r="Q28" s="1507" t="str">
        <f t="shared" si="11"/>
        <v>物业等级</v>
      </c>
      <c r="R28" s="1508" t="s">
        <v>8</v>
      </c>
      <c r="S28" s="1509">
        <f t="shared" si="12"/>
        <v>100</v>
      </c>
      <c r="T28" s="1508" t="s">
        <v>8</v>
      </c>
      <c r="U28" s="1509">
        <f t="shared" si="13"/>
        <v>100</v>
      </c>
      <c r="V28" s="1508" t="s">
        <v>8</v>
      </c>
      <c r="W28" s="1509">
        <f t="shared" si="14"/>
        <v>100</v>
      </c>
      <c r="X28" s="1502"/>
      <c r="Y28" s="3545"/>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45"/>
      <c r="Q29" s="1507" t="str">
        <f t="shared" si="11"/>
        <v>有无电梯</v>
      </c>
      <c r="R29" s="1508" t="s">
        <v>8</v>
      </c>
      <c r="S29" s="1509">
        <f t="shared" si="12"/>
        <v>100</v>
      </c>
      <c r="T29" s="1508" t="s">
        <v>8</v>
      </c>
      <c r="U29" s="1509">
        <f t="shared" si="13"/>
        <v>100</v>
      </c>
      <c r="V29" s="1508" t="s">
        <v>8</v>
      </c>
      <c r="W29" s="1509">
        <f t="shared" si="14"/>
        <v>100</v>
      </c>
      <c r="X29" s="1502"/>
      <c r="Y29" s="3545"/>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45"/>
      <c r="Q30" s="1507" t="str">
        <f t="shared" si="11"/>
        <v>建筑面积</v>
      </c>
      <c r="R30" s="1508" t="s">
        <v>8</v>
      </c>
      <c r="S30" s="1509" t="e">
        <f t="shared" si="12"/>
        <v>#N/A</v>
      </c>
      <c r="T30" s="1508" t="s">
        <v>8</v>
      </c>
      <c r="U30" s="1509" t="e">
        <f t="shared" si="13"/>
        <v>#N/A</v>
      </c>
      <c r="V30" s="1508" t="s">
        <v>8</v>
      </c>
      <c r="W30" s="1509" t="e">
        <f t="shared" si="14"/>
        <v>#N/A</v>
      </c>
      <c r="X30" s="1502"/>
      <c r="Y30" s="3545"/>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45"/>
      <c r="Q31" s="1134" t="str">
        <f t="shared" si="11"/>
        <v>是否封闭</v>
      </c>
      <c r="R31" s="1503" t="s">
        <v>8</v>
      </c>
      <c r="S31" s="1504">
        <f t="shared" si="12"/>
        <v>100</v>
      </c>
      <c r="T31" s="1503" t="s">
        <v>8</v>
      </c>
      <c r="U31" s="1504">
        <f t="shared" si="13"/>
        <v>100</v>
      </c>
      <c r="V31" s="1503" t="s">
        <v>8</v>
      </c>
      <c r="W31" s="1504">
        <f t="shared" si="14"/>
        <v>100</v>
      </c>
      <c r="X31" s="1505"/>
      <c r="Y31" s="3545"/>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45" t="s">
        <v>544</v>
      </c>
      <c r="Q32" s="1507">
        <f t="shared" si="11"/>
        <v>111</v>
      </c>
      <c r="R32" s="1508" t="s">
        <v>8</v>
      </c>
      <c r="S32" s="1509">
        <f t="shared" si="12"/>
        <v>100</v>
      </c>
      <c r="T32" s="1508" t="s">
        <v>8</v>
      </c>
      <c r="U32" s="1509">
        <f t="shared" si="13"/>
        <v>100</v>
      </c>
      <c r="V32" s="1508" t="s">
        <v>8</v>
      </c>
      <c r="W32" s="1509">
        <f t="shared" si="14"/>
        <v>100</v>
      </c>
      <c r="X32" s="1502"/>
      <c r="Y32" s="3545"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45"/>
      <c r="Q33" s="1507">
        <f t="shared" si="11"/>
        <v>111</v>
      </c>
      <c r="R33" s="1508" t="s">
        <v>8</v>
      </c>
      <c r="S33" s="1509">
        <f t="shared" si="12"/>
        <v>100</v>
      </c>
      <c r="T33" s="1508" t="s">
        <v>8</v>
      </c>
      <c r="U33" s="1509">
        <f t="shared" si="13"/>
        <v>100</v>
      </c>
      <c r="V33" s="1508" t="s">
        <v>8</v>
      </c>
      <c r="W33" s="1509">
        <f t="shared" si="14"/>
        <v>100</v>
      </c>
      <c r="X33" s="1502"/>
      <c r="Y33" s="3545"/>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45"/>
      <c r="Q34" s="1507">
        <f t="shared" si="11"/>
        <v>111</v>
      </c>
      <c r="R34" s="1508" t="s">
        <v>8</v>
      </c>
      <c r="S34" s="1509">
        <f t="shared" si="12"/>
        <v>100</v>
      </c>
      <c r="T34" s="1508" t="s">
        <v>8</v>
      </c>
      <c r="U34" s="1509">
        <f t="shared" si="13"/>
        <v>100</v>
      </c>
      <c r="V34" s="1508" t="s">
        <v>8</v>
      </c>
      <c r="W34" s="1509">
        <f t="shared" si="14"/>
        <v>100</v>
      </c>
      <c r="X34" s="1502"/>
      <c r="Y34" s="3545"/>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06" t="str">
        <f>A35</f>
        <v>成交单价（元/平方米）</v>
      </c>
      <c r="Q35" s="3506"/>
      <c r="R35" s="3626">
        <f>E35</f>
        <v>0</v>
      </c>
      <c r="S35" s="3626"/>
      <c r="T35" s="3626">
        <f>G35</f>
        <v>0</v>
      </c>
      <c r="U35" s="3626"/>
      <c r="V35" s="3626">
        <f>I35</f>
        <v>0</v>
      </c>
      <c r="W35" s="3626"/>
      <c r="X35" s="1497"/>
      <c r="Y35" s="1516"/>
      <c r="Z35" s="1497"/>
      <c r="AA35" s="1497"/>
      <c r="AB35" s="1497"/>
      <c r="AC35" s="1497"/>
    </row>
    <row r="36" spans="1:29" ht="15.75" thickBot="1">
      <c r="A36" s="609" t="s">
        <v>2736</v>
      </c>
      <c r="B36" s="877"/>
      <c r="C36" s="2476" t="e">
        <f>R37</f>
        <v>#DIV/0!</v>
      </c>
      <c r="D36" s="3014" t="s">
        <v>2955</v>
      </c>
      <c r="E36" s="2477" t="e">
        <f>R36</f>
        <v>#DIV/0!</v>
      </c>
      <c r="F36" s="3015"/>
      <c r="G36" s="2476" t="e">
        <f>T36</f>
        <v>#DIV/0!</v>
      </c>
      <c r="H36" s="3015"/>
      <c r="I36" s="2477" t="e">
        <f>V36</f>
        <v>#DIV/0!</v>
      </c>
      <c r="J36" s="3015"/>
      <c r="K36" s="3023">
        <f>F36+H36+J36</f>
        <v>0</v>
      </c>
      <c r="L36" s="2026"/>
      <c r="M36" s="2027"/>
      <c r="N36" s="2016"/>
      <c r="O36" s="2027"/>
      <c r="P36" s="3506" t="str">
        <f>A36</f>
        <v>比较价格（元/平方米）</v>
      </c>
      <c r="Q36" s="3506"/>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1497"/>
      <c r="Y36" s="1497"/>
      <c r="Z36" s="1497"/>
      <c r="AA36" s="1497"/>
      <c r="AB36" s="1497"/>
      <c r="AC36" s="1497"/>
    </row>
    <row r="37" spans="1:29" ht="15.75" thickBot="1">
      <c r="A37" s="613" t="s">
        <v>2886</v>
      </c>
      <c r="B37" s="614"/>
      <c r="C37" s="2478" t="e">
        <f>R37</f>
        <v>#DIV/0!</v>
      </c>
      <c r="D37" s="2478"/>
      <c r="E37" s="2478"/>
      <c r="F37" s="2478"/>
      <c r="G37" s="2478"/>
      <c r="H37" s="2478"/>
      <c r="I37" s="2478"/>
      <c r="J37" s="2478"/>
      <c r="K37" s="1542"/>
      <c r="L37" s="2026"/>
      <c r="M37" s="2027"/>
      <c r="N37" s="2027"/>
      <c r="O37" s="2027"/>
      <c r="P37" s="3503" t="str">
        <f>A37</f>
        <v>估价对象XX用房的比较价格（楼面单价，元/平方米）</v>
      </c>
      <c r="Q37" s="3504"/>
      <c r="R37" s="3625" t="e">
        <f>IF(F1="售价",ROUND(IF(D36="简单平均",AVERAGE(R36:W36),R36*F36+T36*H36+V36*J36),0),ROUND(IF(D36="简单平均",AVERAGE(R36:V36),R36*F36+T36*H36+V36*J36),1))</f>
        <v>#DIV/0!</v>
      </c>
      <c r="S37" s="3625"/>
      <c r="T37" s="3625"/>
      <c r="U37" s="3625"/>
      <c r="V37" s="3625"/>
      <c r="W37" s="3625"/>
      <c r="X37" s="1497"/>
      <c r="Y37" s="1497"/>
      <c r="Z37" s="1497"/>
      <c r="AA37" s="1497"/>
      <c r="AB37" s="1497"/>
      <c r="AC37" s="1497"/>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2020-12</v>
      </c>
      <c r="D46" s="2521">
        <f>EDATE(C46,-1)</f>
        <v>44136</v>
      </c>
      <c r="E46" s="2521">
        <f t="shared" ref="E46:O46" si="16">EDATE(D46,-1)</f>
        <v>44105</v>
      </c>
      <c r="F46" s="2521">
        <f t="shared" si="16"/>
        <v>44075</v>
      </c>
      <c r="G46" s="2521">
        <f t="shared" si="16"/>
        <v>44044</v>
      </c>
      <c r="H46" s="2521">
        <f t="shared" si="16"/>
        <v>44013</v>
      </c>
      <c r="I46" s="2521">
        <f t="shared" si="16"/>
        <v>43983</v>
      </c>
      <c r="J46" s="2521">
        <f t="shared" si="16"/>
        <v>43952</v>
      </c>
      <c r="K46" s="2521">
        <f t="shared" si="16"/>
        <v>43922</v>
      </c>
      <c r="L46" s="2521">
        <f t="shared" si="16"/>
        <v>43891</v>
      </c>
      <c r="M46" s="2521">
        <f t="shared" si="16"/>
        <v>43862</v>
      </c>
      <c r="N46" s="2521">
        <f t="shared" si="16"/>
        <v>43831</v>
      </c>
      <c r="O46" s="2521">
        <f t="shared" si="16"/>
        <v>43800</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2534</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2535</v>
      </c>
      <c r="C65" s="2442" t="s">
        <v>2536</v>
      </c>
      <c r="D65" s="2442" t="s">
        <v>2537</v>
      </c>
      <c r="E65" s="2442" t="s">
        <v>2538</v>
      </c>
      <c r="F65" s="2442" t="s">
        <v>2539</v>
      </c>
      <c r="G65" s="2442" t="s">
        <v>2540</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 type="list" allowBlank="1" showInputMessage="1" showErrorMessage="1" sqref="D36" xr:uid="{00000000-0002-0000-28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2288</v>
      </c>
      <c r="C1" s="3643" t="s">
        <v>2289</v>
      </c>
      <c r="D1" s="3644"/>
      <c r="E1" s="3644"/>
      <c r="F1" s="3644"/>
      <c r="G1" s="3644"/>
      <c r="H1" s="3644"/>
      <c r="I1" s="3644"/>
      <c r="J1" s="3644"/>
      <c r="K1" s="3644"/>
      <c r="L1" s="3644"/>
      <c r="M1" s="3644"/>
      <c r="N1" s="3644"/>
      <c r="O1" s="3644"/>
      <c r="P1" s="3644"/>
      <c r="Q1" s="3644"/>
      <c r="R1" s="3644"/>
      <c r="S1" s="3645"/>
      <c r="T1" s="2114" t="s">
        <v>2290</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2291</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2879</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2878</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2877</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2890</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2876</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2875</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2292</v>
      </c>
      <c r="B17" s="2158" t="s">
        <v>2293</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40" t="s">
        <v>20</v>
      </c>
      <c r="D22" s="3641"/>
      <c r="E22" s="3641"/>
      <c r="F22" s="3641"/>
      <c r="G22" s="3641"/>
      <c r="H22" s="3641"/>
      <c r="I22" s="3641"/>
      <c r="J22" s="3641"/>
      <c r="K22" s="3641"/>
      <c r="L22" s="3641"/>
      <c r="M22" s="3641"/>
      <c r="N22" s="3641"/>
      <c r="O22" s="3641"/>
      <c r="P22" s="3641"/>
      <c r="Q22" s="3642"/>
      <c r="R22" s="484" t="e">
        <f>ROUND(S22*10000/B22,0)</f>
        <v>#DIV/0!</v>
      </c>
      <c r="S22" s="53">
        <f>SUM(S24:S10000)</f>
        <v>0</v>
      </c>
    </row>
    <row r="23" spans="1:45" s="1543" customFormat="1" ht="24">
      <c r="A23" s="17" t="s">
        <v>824</v>
      </c>
      <c r="B23" s="2861" t="s">
        <v>2898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3">
        <v>1</v>
      </c>
      <c r="D24" s="3274"/>
      <c r="E24" s="3273">
        <v>1</v>
      </c>
      <c r="F24" s="3274"/>
      <c r="G24" s="3273">
        <v>1</v>
      </c>
      <c r="H24" s="3274"/>
      <c r="I24" s="3273">
        <v>1</v>
      </c>
      <c r="J24" s="3274"/>
      <c r="K24" s="3273">
        <v>1</v>
      </c>
      <c r="L24" s="3274"/>
      <c r="M24" s="3273">
        <v>1</v>
      </c>
      <c r="N24" s="3274"/>
      <c r="O24" s="3273">
        <v>1</v>
      </c>
      <c r="P24" s="3274"/>
      <c r="Q24" s="3273">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B23 B2" xr:uid="{00000000-0002-0000-29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2763</v>
      </c>
      <c r="C1" s="2721">
        <f>项目基本情况!D3</f>
        <v>44166</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2794</v>
      </c>
      <c r="C2" s="2722">
        <f>'数据-取费表'!B22</f>
        <v>2</v>
      </c>
      <c r="D2" s="2717" t="s">
        <v>2764</v>
      </c>
      <c r="E2" s="2720">
        <f ca="1">INDIRECT("I"&amp;$I$1)/100</f>
        <v>4.7500000000000001E-2</v>
      </c>
      <c r="G2" s="2657"/>
      <c r="H2" s="2657"/>
      <c r="I2" s="2657" t="s">
        <v>2765</v>
      </c>
      <c r="K2" s="2657"/>
      <c r="L2" s="2657"/>
      <c r="M2" s="2657"/>
      <c r="N2" s="2657" t="s">
        <v>2766</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2796</v>
      </c>
      <c r="C3" s="2719">
        <f>'数据-取费表'!B19</f>
        <v>0</v>
      </c>
      <c r="D3" s="2717" t="s">
        <v>2764</v>
      </c>
      <c r="E3" s="2720">
        <f ca="1">INDIRECT("J"&amp;$J$1)/100</f>
        <v>0</v>
      </c>
      <c r="G3" s="2659" t="s">
        <v>2767</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2795</v>
      </c>
      <c r="C4" s="2720">
        <f ca="1">N4/100</f>
        <v>1.4999999999999999E-2</v>
      </c>
      <c r="G4" s="2665" t="s">
        <v>2768</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2769</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2770</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2771</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2772</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2773</v>
      </c>
      <c r="C10" s="2684"/>
      <c r="D10" s="2684"/>
      <c r="E10" s="2684"/>
      <c r="F10" s="2684"/>
      <c r="G10" s="2684"/>
      <c r="H10" s="2684"/>
      <c r="I10" s="2658"/>
      <c r="J10" s="2658"/>
      <c r="K10" s="2684"/>
      <c r="L10" s="2685" t="s">
        <v>2774</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2775</v>
      </c>
      <c r="C11" s="2689" t="s">
        <v>2776</v>
      </c>
      <c r="D11" s="2690" t="s">
        <v>2777</v>
      </c>
      <c r="E11" s="2691"/>
      <c r="F11" s="2690" t="s">
        <v>2778</v>
      </c>
      <c r="G11" s="2692"/>
      <c r="H11" s="2691"/>
      <c r="I11" s="2690" t="s">
        <v>2779</v>
      </c>
      <c r="J11" s="2691"/>
      <c r="K11" s="2687"/>
      <c r="L11" s="2688" t="s">
        <v>2775</v>
      </c>
      <c r="M11" s="2689" t="s">
        <v>2776</v>
      </c>
      <c r="N11" s="2688" t="s">
        <v>2780</v>
      </c>
      <c r="O11" s="2690" t="s">
        <v>2781</v>
      </c>
      <c r="P11" s="2692"/>
      <c r="Q11" s="2692"/>
      <c r="R11" s="2692"/>
      <c r="S11" s="2692"/>
      <c r="T11" s="2691"/>
      <c r="U11" s="2690" t="s">
        <v>2782</v>
      </c>
      <c r="V11" s="2692"/>
      <c r="W11" s="2691"/>
      <c r="X11" s="2688" t="s">
        <v>2783</v>
      </c>
      <c r="Y11" s="2688" t="s">
        <v>2784</v>
      </c>
      <c r="Z11" s="2688" t="s">
        <v>2785</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2786</v>
      </c>
      <c r="E12" s="2697" t="s">
        <v>2787</v>
      </c>
      <c r="F12" s="2697" t="s">
        <v>2788</v>
      </c>
      <c r="G12" s="2697" t="s">
        <v>2789</v>
      </c>
      <c r="H12" s="2697" t="s">
        <v>2771</v>
      </c>
      <c r="I12" s="2698" t="s">
        <v>2790</v>
      </c>
      <c r="J12" s="2698" t="s">
        <v>2790</v>
      </c>
      <c r="K12" s="2694"/>
      <c r="L12" s="2695"/>
      <c r="M12" s="2696"/>
      <c r="N12" s="2695"/>
      <c r="O12" s="2698" t="s">
        <v>2791</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2792</v>
      </c>
      <c r="C13" s="2702">
        <v>42301</v>
      </c>
      <c r="D13" s="2703">
        <v>4.3499999999999996</v>
      </c>
      <c r="E13" s="2703">
        <v>4.3499999999999996</v>
      </c>
      <c r="F13" s="2703">
        <v>4.75</v>
      </c>
      <c r="G13" s="2703">
        <v>4.75</v>
      </c>
      <c r="H13" s="2703">
        <v>4.9000000000000004</v>
      </c>
      <c r="I13" s="2703">
        <v>2.75</v>
      </c>
      <c r="J13" s="2703">
        <v>3.25</v>
      </c>
      <c r="K13" s="2700"/>
      <c r="L13" s="2701" t="s">
        <v>2792</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2793</v>
      </c>
      <c r="Y42" s="2707" t="s">
        <v>2793</v>
      </c>
      <c r="Z42" s="2707" t="s">
        <v>2793</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2793</v>
      </c>
      <c r="Y43" s="2707" t="s">
        <v>2793</v>
      </c>
      <c r="Z43" s="2707" t="s">
        <v>2793</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2793</v>
      </c>
      <c r="Y44" s="2707" t="s">
        <v>2793</v>
      </c>
      <c r="Z44" s="2707" t="s">
        <v>2793</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2793</v>
      </c>
      <c r="Y45" s="2707" t="s">
        <v>2793</v>
      </c>
      <c r="Z45" s="2707" t="s">
        <v>2793</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2793</v>
      </c>
      <c r="Y46" s="2707" t="s">
        <v>2793</v>
      </c>
      <c r="Z46" s="2707" t="s">
        <v>2793</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2793</v>
      </c>
      <c r="Y47" s="2707" t="s">
        <v>2793</v>
      </c>
      <c r="Z47" s="2707" t="s">
        <v>2793</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2793</v>
      </c>
      <c r="Y48" s="2707" t="s">
        <v>2793</v>
      </c>
      <c r="Z48" s="2707" t="s">
        <v>2793</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2793</v>
      </c>
      <c r="Y49" s="2707" t="s">
        <v>2793</v>
      </c>
      <c r="Z49" s="2707" t="s">
        <v>2793</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2793</v>
      </c>
      <c r="Y50" s="2707" t="s">
        <v>2793</v>
      </c>
      <c r="Z50" s="2707" t="s">
        <v>2793</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2793</v>
      </c>
      <c r="V51" s="2707" t="s">
        <v>2793</v>
      </c>
      <c r="W51" s="2707" t="s">
        <v>2793</v>
      </c>
      <c r="X51" s="2707" t="s">
        <v>2793</v>
      </c>
      <c r="Y51" s="2707" t="s">
        <v>2793</v>
      </c>
      <c r="Z51" s="2707" t="s">
        <v>2793</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2793</v>
      </c>
      <c r="J55" s="2707" t="s">
        <v>2793</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1" t="s">
        <v>2024</v>
      </c>
      <c r="B1" s="3331"/>
      <c r="C1" s="3331"/>
      <c r="D1" s="3331"/>
      <c r="E1" s="3331"/>
      <c r="F1" s="3331"/>
      <c r="G1" s="3331"/>
      <c r="H1" s="3331"/>
      <c r="I1" s="3331"/>
      <c r="J1" s="3331"/>
      <c r="K1" s="3331"/>
      <c r="L1" s="3331"/>
      <c r="M1" s="3331"/>
      <c r="N1" s="3331"/>
      <c r="O1" s="3331"/>
      <c r="P1" s="3331"/>
      <c r="Q1" s="3331"/>
      <c r="R1" s="3331"/>
    </row>
    <row r="2" spans="1:18">
      <c r="A2" s="1722" t="s">
        <v>2026</v>
      </c>
      <c r="B2" s="1722"/>
      <c r="C2" s="1722"/>
      <c r="D2" s="1722"/>
      <c r="E2" s="1722"/>
      <c r="F2" s="1722"/>
      <c r="G2" s="1722"/>
      <c r="H2" s="1722"/>
      <c r="I2" s="1723"/>
      <c r="J2" s="1723"/>
      <c r="K2" s="1724" t="str">
        <f>"估价期日："&amp;TEXT(项目基本情况!D3,"yyyy年m月d日;;")</f>
        <v>估价期日：2020年12月1日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32" t="s">
        <v>2015</v>
      </c>
      <c r="B3" s="3332" t="s">
        <v>2707</v>
      </c>
      <c r="C3" s="3333" t="s">
        <v>2016</v>
      </c>
      <c r="D3" s="3332" t="s">
        <v>2711</v>
      </c>
      <c r="E3" s="3335" t="s">
        <v>2017</v>
      </c>
      <c r="F3" s="3335"/>
      <c r="G3" s="3335"/>
      <c r="H3" s="3335" t="s">
        <v>2018</v>
      </c>
      <c r="I3" s="3335"/>
      <c r="J3" s="3335"/>
      <c r="K3" s="3333" t="s">
        <v>2019</v>
      </c>
      <c r="L3" s="3333" t="s">
        <v>2020</v>
      </c>
      <c r="M3" s="3332" t="s">
        <v>2708</v>
      </c>
      <c r="N3" s="3334" t="str">
        <f>"（分摊）"&amp;项目基本情况!B16&amp;"国有建设用地使用权面积/㎡"</f>
        <v>（分摊）出让国有建设用地使用权面积/㎡</v>
      </c>
      <c r="O3" s="3332" t="s">
        <v>2049</v>
      </c>
      <c r="P3" s="3333" t="s">
        <v>2029</v>
      </c>
      <c r="Q3" s="3333" t="s">
        <v>2050</v>
      </c>
      <c r="R3" s="3333" t="s">
        <v>2021</v>
      </c>
    </row>
    <row r="4" spans="1:18" ht="36.75" customHeight="1">
      <c r="A4" s="3332"/>
      <c r="B4" s="3332"/>
      <c r="C4" s="3333"/>
      <c r="D4" s="3332"/>
      <c r="E4" s="2491" t="s">
        <v>2028</v>
      </c>
      <c r="F4" s="2491" t="s">
        <v>2720</v>
      </c>
      <c r="G4" s="2491" t="s">
        <v>2022</v>
      </c>
      <c r="H4" s="2491" t="s">
        <v>2023</v>
      </c>
      <c r="I4" s="2491" t="s">
        <v>2721</v>
      </c>
      <c r="J4" s="2491" t="s">
        <v>2022</v>
      </c>
      <c r="K4" s="3333"/>
      <c r="L4" s="3333"/>
      <c r="M4" s="3332"/>
      <c r="N4" s="3334"/>
      <c r="O4" s="3332"/>
      <c r="P4" s="3333"/>
      <c r="Q4" s="3333"/>
      <c r="R4" s="3333"/>
    </row>
    <row r="5" spans="1:18" ht="135" customHeight="1">
      <c r="A5" s="1857" t="s">
        <v>2631</v>
      </c>
      <c r="B5" s="2584" t="s">
        <v>2629</v>
      </c>
      <c r="C5" s="2490">
        <v>22</v>
      </c>
      <c r="D5" s="2489" t="s">
        <v>2630</v>
      </c>
      <c r="E5" s="1725" t="str">
        <f>项目基本情况!B12</f>
        <v>住宅</v>
      </c>
      <c r="F5" s="2489">
        <v>258</v>
      </c>
      <c r="G5" s="1725" t="str">
        <f>项目基本情况!B13</f>
        <v>住宅</v>
      </c>
      <c r="H5" s="2489">
        <v>1.5</v>
      </c>
      <c r="I5" s="2489">
        <v>1.5</v>
      </c>
      <c r="J5" s="2489">
        <v>1.5</v>
      </c>
      <c r="K5" s="1725" t="str">
        <f>"红线外"&amp;项目基本情况!T40&amp;"、宗地红线内"&amp;项目基本情况!B35</f>
        <v>红线外七通、宗地红线内场地平整</v>
      </c>
      <c r="L5" s="1725" t="str">
        <f>"红线外"&amp;项目基本情况!T40&amp;"、宗地红线内场地"&amp;项目基本情况!D36</f>
        <v>红线外七通、宗地红线内场地</v>
      </c>
      <c r="M5" s="1725">
        <f>IF(项目基本情况!B16="出让",项目基本情况!D20,"——")</f>
        <v>0</v>
      </c>
      <c r="N5" s="1725">
        <f>项目基本情况!C22</f>
        <v>12606.51</v>
      </c>
      <c r="O5" s="1725">
        <f>项目基本情况!C21</f>
        <v>37819.53</v>
      </c>
      <c r="P5" s="1725">
        <f ca="1">结果表!E42</f>
        <v>4352</v>
      </c>
      <c r="Q5" s="1725">
        <f ca="1">结果表!D42</f>
        <v>1451</v>
      </c>
      <c r="R5" s="1726">
        <f ca="1">结果表!C42</f>
        <v>5486</v>
      </c>
    </row>
    <row r="6" spans="1:18">
      <c r="A6" s="3328" t="str">
        <f>IF(项目基本情况!B9="市场价格","——","抵押价格")</f>
        <v>抵押价格</v>
      </c>
      <c r="B6" s="3329"/>
      <c r="C6" s="3329"/>
      <c r="D6" s="3329"/>
      <c r="E6" s="3329"/>
      <c r="F6" s="3329"/>
      <c r="G6" s="3329"/>
      <c r="H6" s="3329"/>
      <c r="I6" s="3329"/>
      <c r="J6" s="3329"/>
      <c r="K6" s="3329"/>
      <c r="L6" s="3329"/>
      <c r="M6" s="3329"/>
      <c r="N6" s="3329"/>
      <c r="O6" s="3329"/>
      <c r="P6" s="3329"/>
      <c r="Q6" s="3330"/>
      <c r="R6" s="1727">
        <f ca="1">结果表!O39</f>
        <v>5486</v>
      </c>
    </row>
    <row r="7" spans="1:18">
      <c r="A7" s="3328" t="str">
        <f>IF(项目基本情况!B9="市场价格","——",IF(项目基本情况!E8="已注销及未注销","抵押担保权已注销时的抵押价格","——"))</f>
        <v>——</v>
      </c>
      <c r="B7" s="3329"/>
      <c r="C7" s="3329"/>
      <c r="D7" s="3329"/>
      <c r="E7" s="3329"/>
      <c r="F7" s="3329"/>
      <c r="G7" s="3329"/>
      <c r="H7" s="3329"/>
      <c r="I7" s="3329"/>
      <c r="J7" s="3329"/>
      <c r="K7" s="3329"/>
      <c r="L7" s="3329"/>
      <c r="M7" s="3329"/>
      <c r="N7" s="3329"/>
      <c r="O7" s="3329"/>
      <c r="P7" s="3329"/>
      <c r="Q7" s="3330"/>
      <c r="R7" s="1727" t="str">
        <f>结果表!O40</f>
        <v>——</v>
      </c>
    </row>
    <row r="8" spans="1:18">
      <c r="A8" s="3328" t="str">
        <f>IF(项目基本情况!B9="市场价格","——",项目基本情况!E9)</f>
        <v>——</v>
      </c>
      <c r="B8" s="3329"/>
      <c r="C8" s="3329"/>
      <c r="D8" s="3329"/>
      <c r="E8" s="3329"/>
      <c r="F8" s="3329"/>
      <c r="G8" s="3329"/>
      <c r="H8" s="3329"/>
      <c r="I8" s="3329"/>
      <c r="J8" s="3329"/>
      <c r="K8" s="3329"/>
      <c r="L8" s="3329"/>
      <c r="M8" s="3329"/>
      <c r="N8" s="3329"/>
      <c r="O8" s="3329"/>
      <c r="P8" s="3329"/>
      <c r="Q8" s="3330"/>
      <c r="R8" s="1727" t="str">
        <f>结果表!O41</f>
        <v>——</v>
      </c>
    </row>
    <row r="9" spans="1:18">
      <c r="A9" s="1728" t="s">
        <v>2027</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2014</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37" t="s">
        <v>2051</v>
      </c>
      <c r="B1" s="3337"/>
      <c r="C1" s="3337"/>
      <c r="D1" s="3337"/>
    </row>
    <row r="2" spans="1:4" ht="47.25" customHeight="1">
      <c r="A2" s="3338" t="str">
        <f>"1.权利限制："&amp;项目基本情况!L24&amp;"未设定租赁等其他他项权利。"</f>
        <v>1.权利限制：根据估价对象、，截至估价期日，估价对象抵押权未见登记。未设定租赁等其他他项权利。</v>
      </c>
      <c r="B2" s="3338"/>
      <c r="C2" s="3338"/>
      <c r="D2" s="3338"/>
    </row>
    <row r="3" spans="1:4" ht="48" customHeight="1">
      <c r="A3" s="333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37"/>
      <c r="C3" s="3337"/>
      <c r="D3" s="3337"/>
    </row>
    <row r="4" spans="1:4" ht="36.75" customHeight="1">
      <c r="A4" s="3337" t="str">
        <f>"3.估价规划限制条件：详见"&amp;项目基本情况!E21&amp;"。"</f>
        <v>3.估价规划限制条件：详见。</v>
      </c>
      <c r="B4" s="3337"/>
      <c r="C4" s="3337"/>
      <c r="D4" s="3337"/>
    </row>
    <row r="5" spans="1:4">
      <c r="A5" s="3336" t="s">
        <v>2052</v>
      </c>
      <c r="B5" s="3336"/>
      <c r="C5" s="3336"/>
      <c r="D5" s="3336"/>
    </row>
    <row r="6" spans="1:4">
      <c r="A6" s="3337" t="s">
        <v>2030</v>
      </c>
      <c r="B6" s="3337"/>
      <c r="C6" s="3337"/>
      <c r="D6" s="3337"/>
    </row>
    <row r="7" spans="1:4" ht="33" customHeight="1">
      <c r="A7" s="3337" t="s">
        <v>2551</v>
      </c>
      <c r="B7" s="3337"/>
      <c r="C7" s="3337"/>
      <c r="D7" s="3337"/>
    </row>
    <row r="8" spans="1:4" ht="32.25" customHeight="1">
      <c r="A8" s="33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7"/>
      <c r="C8" s="3337"/>
      <c r="D8" s="3337"/>
    </row>
    <row r="9" spans="1:4" ht="33.75" customHeight="1">
      <c r="A9" s="33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7"/>
      <c r="C9" s="3337"/>
      <c r="D9" s="3337"/>
    </row>
    <row r="10" spans="1:4">
      <c r="A10" s="3337" t="str">
        <f>IF(项目基本情况!B8="抵押","4.估价师所知悉的法定优先受偿款情况为：","——")</f>
        <v>4.估价师所知悉的法定优先受偿款情况为：</v>
      </c>
      <c r="B10" s="3337"/>
      <c r="C10" s="3337"/>
      <c r="D10" s="3337"/>
    </row>
    <row r="11" spans="1:4" ht="37.5" customHeight="1">
      <c r="A11" s="3339" t="str">
        <f>IF(项目基本情况!B8="抵押","（1）"&amp;CONCATENATE(项目基本情况!L24,项目基本情况!L25,项目基本情况!L26),"——")</f>
        <v>（1）根据估价对象、，截至估价期日，估价对象抵押权未见登记。</v>
      </c>
      <c r="B11" s="3339"/>
      <c r="C11" s="3339"/>
      <c r="D11" s="3339"/>
    </row>
    <row r="12" spans="1:4" ht="168" customHeight="1">
      <c r="A12" s="3336" t="s">
        <v>2054</v>
      </c>
      <c r="B12" s="3336"/>
      <c r="C12" s="3336"/>
      <c r="D12" s="3336"/>
    </row>
    <row r="13" spans="1:4">
      <c r="A13" s="3340" t="s">
        <v>2722</v>
      </c>
      <c r="B13" s="3340"/>
      <c r="C13" s="3340"/>
      <c r="D13" s="3340"/>
    </row>
    <row r="14" spans="1:4">
      <c r="A14" s="3339" t="str">
        <f>IF(项目基本情况!B8="抵押","综上，"&amp;结果表!K47,"——")</f>
        <v>综上，本次评估不存在估价师知悉的法定优先受偿款</v>
      </c>
      <c r="B14" s="3339"/>
      <c r="C14" s="3339"/>
      <c r="D14" s="3339"/>
    </row>
    <row r="15" spans="1:4" ht="58.5" customHeight="1">
      <c r="A15" s="33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7"/>
      <c r="C15" s="3337"/>
      <c r="D15" s="3337"/>
    </row>
    <row r="16" spans="1:4" ht="70.5" customHeight="1">
      <c r="A16" s="33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7"/>
      <c r="C16" s="3337"/>
      <c r="D16" s="3337"/>
    </row>
    <row r="17" spans="1:4">
      <c r="A17" s="3337" t="s">
        <v>2678</v>
      </c>
      <c r="B17" s="3337"/>
      <c r="C17" s="3337"/>
      <c r="D17" s="3337"/>
    </row>
    <row r="18" spans="1:4">
      <c r="A18" s="3337" t="s">
        <v>2670</v>
      </c>
      <c r="B18" s="3337"/>
      <c r="C18" s="3337"/>
      <c r="D18" s="3337"/>
    </row>
    <row r="19" spans="1:4">
      <c r="A19" s="2585" t="s">
        <v>2671</v>
      </c>
      <c r="B19" s="2585" t="s">
        <v>2672</v>
      </c>
      <c r="C19" s="2585" t="s">
        <v>2673</v>
      </c>
      <c r="D19" s="2585" t="s">
        <v>2674</v>
      </c>
    </row>
    <row r="20" spans="1:4">
      <c r="A20" s="2585" t="str">
        <f>项目基本情况!B4</f>
        <v>崔锴</v>
      </c>
      <c r="B20" s="2585">
        <f ca="1">项目基本情况!C4</f>
        <v>2010110070</v>
      </c>
      <c r="C20" s="2587"/>
      <c r="D20" s="1715" t="s">
        <v>2679</v>
      </c>
    </row>
    <row r="21" spans="1:4">
      <c r="A21" s="2585" t="str">
        <f>项目基本情况!D4</f>
        <v>郑燚</v>
      </c>
      <c r="B21" s="2585">
        <f ca="1">项目基本情况!E4</f>
        <v>2014110011</v>
      </c>
      <c r="C21" s="2587"/>
      <c r="D21" s="1715" t="s">
        <v>2680</v>
      </c>
    </row>
    <row r="23" spans="1:4">
      <c r="A23" s="3337" t="s">
        <v>2675</v>
      </c>
      <c r="B23" s="3337"/>
      <c r="C23" s="3337"/>
      <c r="D23" s="3337"/>
    </row>
    <row r="24" spans="1:4">
      <c r="A24" s="2585" t="s">
        <v>2671</v>
      </c>
      <c r="B24" s="2585" t="s">
        <v>2676</v>
      </c>
      <c r="C24" s="2585" t="s">
        <v>2673</v>
      </c>
      <c r="D24" s="2585" t="s">
        <v>2674</v>
      </c>
    </row>
    <row r="25" spans="1:4">
      <c r="A25" s="2588" t="s">
        <v>2677</v>
      </c>
      <c r="B25" s="2585" t="s">
        <v>943</v>
      </c>
      <c r="C25" s="2587"/>
      <c r="D25" s="1715" t="s">
        <v>2680</v>
      </c>
    </row>
    <row r="29" spans="1:4">
      <c r="D29" s="2586" t="s">
        <v>2025</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8" t="s">
        <v>53</v>
      </c>
      <c r="B15" s="3349" t="s">
        <v>838</v>
      </c>
      <c r="C15" s="3345"/>
    </row>
    <row r="16" spans="1:7" ht="14.25">
      <c r="A16" s="3348"/>
      <c r="B16" s="3346" t="s">
        <v>54</v>
      </c>
      <c r="C16" s="1155" t="s">
        <v>53</v>
      </c>
    </row>
    <row r="17" spans="1:3" ht="14.25">
      <c r="A17" s="3348"/>
      <c r="B17" s="3346"/>
      <c r="C17" s="1155" t="s">
        <v>55</v>
      </c>
    </row>
    <row r="18" spans="1:3" ht="14.25">
      <c r="A18" s="3348"/>
      <c r="B18" s="3346"/>
      <c r="C18" s="1155" t="s">
        <v>56</v>
      </c>
    </row>
    <row r="19" spans="1:3" ht="14.25">
      <c r="A19" s="3348"/>
      <c r="B19" s="3344" t="s">
        <v>57</v>
      </c>
      <c r="C19" s="3345"/>
    </row>
    <row r="20" spans="1:3" ht="14.25">
      <c r="A20" s="1156" t="s">
        <v>58</v>
      </c>
      <c r="B20" s="1157"/>
      <c r="C20" s="1158"/>
    </row>
    <row r="21" spans="1:3" ht="14.25">
      <c r="A21" s="3347" t="s">
        <v>59</v>
      </c>
      <c r="B21" s="3344" t="s">
        <v>60</v>
      </c>
      <c r="C21" s="3345"/>
    </row>
    <row r="22" spans="1:3" ht="14.25">
      <c r="A22" s="3347"/>
      <c r="B22" s="3344" t="s">
        <v>61</v>
      </c>
      <c r="C22" s="3345"/>
    </row>
    <row r="23" spans="1:3" ht="14.25">
      <c r="A23" s="3347"/>
      <c r="B23" s="3344" t="s">
        <v>62</v>
      </c>
      <c r="C23" s="3345"/>
    </row>
    <row r="24" spans="1:3" ht="14.25">
      <c r="A24" s="3347"/>
      <c r="B24" s="3350" t="s">
        <v>63</v>
      </c>
      <c r="C24" s="1159" t="s">
        <v>829</v>
      </c>
    </row>
    <row r="25" spans="1:3" ht="14.25">
      <c r="A25" s="3347"/>
      <c r="B25" s="3351"/>
      <c r="C25" s="1159" t="s">
        <v>830</v>
      </c>
    </row>
    <row r="26" spans="1:3" ht="14.25">
      <c r="A26" s="3347"/>
      <c r="B26" s="3351"/>
      <c r="C26" s="1159" t="s">
        <v>831</v>
      </c>
    </row>
    <row r="27" spans="1:3" ht="14.25">
      <c r="A27" s="3347"/>
      <c r="B27" s="3351"/>
      <c r="C27" s="1159" t="s">
        <v>832</v>
      </c>
    </row>
    <row r="28" spans="1:3" ht="14.25">
      <c r="A28" s="3347"/>
      <c r="B28" s="3351"/>
      <c r="C28" s="1159" t="s">
        <v>833</v>
      </c>
    </row>
    <row r="29" spans="1:3" ht="14.25">
      <c r="A29" s="3347"/>
      <c r="B29" s="3351"/>
      <c r="C29" s="1159" t="s">
        <v>834</v>
      </c>
    </row>
    <row r="30" spans="1:3" ht="14.25">
      <c r="A30" s="3347"/>
      <c r="B30" s="3351"/>
      <c r="C30" s="1159" t="s">
        <v>835</v>
      </c>
    </row>
    <row r="31" spans="1:3" ht="14.25">
      <c r="A31" s="3347"/>
      <c r="B31" s="3351"/>
      <c r="C31" s="1159" t="s">
        <v>836</v>
      </c>
    </row>
    <row r="32" spans="1:3" ht="14.25">
      <c r="A32" s="3347"/>
      <c r="B32" s="3351"/>
      <c r="C32" s="1159" t="s">
        <v>1637</v>
      </c>
    </row>
    <row r="33" spans="1:3" ht="14.25">
      <c r="A33" s="3347"/>
      <c r="B33" s="3341" t="s">
        <v>1643</v>
      </c>
      <c r="C33" s="1159" t="s">
        <v>1638</v>
      </c>
    </row>
    <row r="34" spans="1:3" ht="14.25">
      <c r="A34" s="3347"/>
      <c r="B34" s="3342"/>
      <c r="C34" s="1164" t="s">
        <v>1639</v>
      </c>
    </row>
    <row r="35" spans="1:3" ht="14.25">
      <c r="A35" s="3347"/>
      <c r="B35" s="3342"/>
      <c r="C35" s="1165" t="s">
        <v>1640</v>
      </c>
    </row>
    <row r="36" spans="1:3" ht="14.25">
      <c r="A36" s="3347"/>
      <c r="B36" s="3342"/>
      <c r="C36" s="1165" t="s">
        <v>1641</v>
      </c>
    </row>
    <row r="37" spans="1:3" ht="14.25">
      <c r="A37" s="3347"/>
      <c r="B37" s="3343"/>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44179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2928</v>
      </c>
      <c r="B12" s="3030">
        <f ca="1">IF(C12&lt;B2,"已过期",1120040230)</f>
        <v>1120040230</v>
      </c>
      <c r="C12" s="3033">
        <v>44864</v>
      </c>
      <c r="D12" s="3041" t="s">
        <v>2929</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2943</v>
      </c>
      <c r="B15" s="3030">
        <f ca="1">IF(C14&lt;B2,"已过期",1119980106)</f>
        <v>1119980106</v>
      </c>
      <c r="C15" s="3033">
        <v>44969</v>
      </c>
      <c r="D15" s="3041"/>
      <c r="E15" s="3030"/>
      <c r="F15" s="3030"/>
      <c r="G15" s="3025"/>
    </row>
    <row r="16" spans="1:7" s="2831" customFormat="1" ht="20.25" customHeight="1">
      <c r="A16" s="3029" t="s">
        <v>2039</v>
      </c>
      <c r="B16" s="3029" t="s">
        <v>2039</v>
      </c>
      <c r="C16" s="3033"/>
      <c r="D16" s="3042" t="s">
        <v>2039</v>
      </c>
      <c r="E16" s="3030" t="s">
        <v>2039</v>
      </c>
      <c r="F16" s="3032"/>
      <c r="G16" s="3034"/>
    </row>
    <row r="17" spans="1:7" ht="20.25" customHeight="1">
      <c r="A17" s="3355" t="s">
        <v>1915</v>
      </c>
      <c r="B17" s="3356"/>
      <c r="C17" s="3356"/>
      <c r="D17" s="3356"/>
      <c r="E17" s="3356"/>
      <c r="F17" s="3356"/>
      <c r="G17" s="3034"/>
    </row>
    <row r="18" spans="1:7" ht="20.25" customHeight="1">
      <c r="A18" s="3352" t="s">
        <v>1916</v>
      </c>
      <c r="B18" s="3352"/>
      <c r="C18" s="3353"/>
      <c r="D18" s="3354" t="s">
        <v>1917</v>
      </c>
      <c r="E18" s="3352"/>
      <c r="F18" s="3352"/>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2942</v>
      </c>
      <c r="F21" s="3038">
        <v>44012</v>
      </c>
      <c r="G21" s="3026"/>
    </row>
    <row r="22" spans="1:7" ht="20.25" customHeight="1">
      <c r="A22" s="3025"/>
      <c r="B22" s="3025"/>
      <c r="C22" s="3039"/>
      <c r="D22" s="3047"/>
      <c r="E22" s="3048"/>
      <c r="F22" s="3040" t="s">
        <v>2956</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2522</v>
      </c>
      <c r="R1" s="2432" t="s">
        <v>2516</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2517</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2518</v>
      </c>
      <c r="S3" s="9" t="s">
        <v>84</v>
      </c>
      <c r="T3" s="9" t="s">
        <v>85</v>
      </c>
      <c r="U3" s="9" t="s">
        <v>84</v>
      </c>
      <c r="V3" s="9" t="s">
        <v>86</v>
      </c>
      <c r="W3" s="9" t="s">
        <v>867</v>
      </c>
    </row>
    <row r="4" spans="1:23">
      <c r="A4" s="8" t="s">
        <v>87</v>
      </c>
      <c r="B4" s="8" t="s">
        <v>152</v>
      </c>
      <c r="C4" s="1490" t="s">
        <v>1702</v>
      </c>
      <c r="D4" s="9" t="s">
        <v>1981</v>
      </c>
      <c r="E4" s="9" t="s">
        <v>88</v>
      </c>
      <c r="F4" s="9" t="s">
        <v>89</v>
      </c>
      <c r="G4" s="9">
        <v>70</v>
      </c>
      <c r="H4" s="9" t="s">
        <v>90</v>
      </c>
      <c r="I4" s="9" t="s">
        <v>91</v>
      </c>
      <c r="K4" s="9" t="s">
        <v>92</v>
      </c>
      <c r="L4" s="9" t="s">
        <v>92</v>
      </c>
      <c r="M4" s="9" t="s">
        <v>92</v>
      </c>
      <c r="N4" s="9" t="s">
        <v>92</v>
      </c>
      <c r="O4" s="9" t="s">
        <v>92</v>
      </c>
      <c r="P4" s="993" t="s">
        <v>754</v>
      </c>
      <c r="Q4" s="9" t="s">
        <v>92</v>
      </c>
      <c r="R4" s="993" t="s">
        <v>2519</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2520</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2521</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2904</v>
      </c>
      <c r="C18" s="1493"/>
    </row>
    <row r="19" spans="1:3">
      <c r="A19" s="8" t="s">
        <v>120</v>
      </c>
      <c r="B19" s="2792" t="s">
        <v>2911</v>
      </c>
      <c r="C19" s="1493"/>
    </row>
    <row r="20" spans="1:3">
      <c r="A20" s="8" t="s">
        <v>121</v>
      </c>
      <c r="B20" s="2792" t="s">
        <v>2957</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大冶湖高新技术产业投资有限公司拟使用湖北省黄石市大冶市罗桥商贸新区新冶大道东侧、职业技术学校北侧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1973</v>
      </c>
      <c r="B52" s="1686" t="s">
        <v>1974</v>
      </c>
      <c r="C52" s="1684" t="s">
        <v>1975</v>
      </c>
      <c r="D52" s="1684" t="s">
        <v>1976</v>
      </c>
      <c r="E52" s="1685"/>
    </row>
    <row r="53" spans="1:5">
      <c r="A53" s="3357" t="s">
        <v>1977</v>
      </c>
      <c r="B53" s="1684" t="s">
        <v>1983</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日，在规划利用条件下、设定土地开发程度为红线外“七通”、宗地内场地，设定用途为住宅，剩余土地使用年限为的出让国有建设用地使用权价格。</v>
      </c>
      <c r="D53" s="1685"/>
      <c r="E53" s="1685"/>
    </row>
    <row r="54" spans="1:5">
      <c r="A54" s="3357"/>
      <c r="B54" s="1684" t="s">
        <v>1984</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57"/>
      <c r="B55" s="1684" t="s">
        <v>1978</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57"/>
      <c r="B56" s="1684" t="s">
        <v>1979</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57"/>
      <c r="B57" s="1684" t="s">
        <v>1980</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2035</v>
      </c>
      <c r="B58" s="1684" t="s">
        <v>2036</v>
      </c>
      <c r="C58" s="11" t="s">
        <v>2037</v>
      </c>
      <c r="D58" s="1273"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土地信息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剩余法-待开发</vt:lpstr>
      <vt:lpstr>不动产比较法-住宅</vt:lpstr>
      <vt:lpstr>开发完成后</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2020-12-14T10:57:40Z</dcterms:modified>
</cp:coreProperties>
</file>