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625" windowHeight="1077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典型户型修正" sheetId="31"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3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 i="80" l="1"/>
  <c r="C7" i="80"/>
  <c r="D7" i="80" s="1"/>
  <c r="B7" i="80"/>
  <c r="D6" i="80"/>
  <c r="C6" i="80"/>
  <c r="B6" i="80"/>
  <c r="D5" i="80"/>
  <c r="D8" i="80" s="1"/>
  <c r="C5" i="80"/>
  <c r="C8" i="80" s="1"/>
  <c r="B5" i="80"/>
  <c r="C19" i="9"/>
  <c r="K84" i="9" l="1"/>
  <c r="B14" i="74" l="1"/>
  <c r="T5" i="31" l="1"/>
  <c r="E48" i="34"/>
  <c r="N6" i="1"/>
  <c r="O19" i="1"/>
  <c r="J118" i="9" l="1"/>
  <c r="D3" i="4" l="1"/>
  <c r="B25" i="31" l="1"/>
  <c r="B26" i="31"/>
  <c r="B24" i="31"/>
  <c r="A25" i="31"/>
  <c r="A26" i="31"/>
  <c r="A24" i="31"/>
  <c r="G51" i="34"/>
  <c r="G48" i="34" s="1"/>
  <c r="I51" i="34" l="1"/>
  <c r="I48" i="34" s="1"/>
  <c r="Y6" i="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F6" i="15"/>
  <c r="F9" i="15"/>
  <c r="B13" i="76"/>
  <c r="B8" i="76"/>
  <c r="F9" i="67"/>
  <c r="D4" i="73"/>
  <c r="F3" i="73"/>
  <c r="M8" i="67"/>
  <c r="C76" i="67"/>
  <c r="F36" i="67"/>
  <c r="M29" i="15"/>
  <c r="C76" i="15"/>
  <c r="B9" i="76"/>
  <c r="E8" i="76"/>
  <c r="B11" i="76"/>
  <c r="F37" i="15"/>
  <c r="F5" i="73"/>
  <c r="F13" i="15"/>
  <c r="B7" i="76"/>
  <c r="D6" i="73"/>
  <c r="E10" i="76"/>
  <c r="J15" i="67"/>
  <c r="B12" i="76"/>
  <c r="F7" i="15"/>
  <c r="F43" i="67"/>
  <c r="M24" i="67"/>
  <c r="M8" i="15"/>
  <c r="F16" i="67"/>
  <c r="AO13" i="1"/>
  <c r="F4" i="73"/>
  <c r="L48" i="67"/>
  <c r="M22" i="15"/>
  <c r="M28" i="15"/>
  <c r="M23" i="67"/>
  <c r="M29" i="67"/>
  <c r="B10" i="76"/>
  <c r="M26" i="67"/>
  <c r="F8" i="15"/>
  <c r="F37" i="67"/>
  <c r="F38" i="67"/>
  <c r="M6" i="67"/>
  <c r="M9" i="15"/>
  <c r="D5" i="73"/>
  <c r="E2" i="68"/>
  <c r="M9" i="67"/>
  <c r="F8" i="67"/>
  <c r="F40" i="15"/>
  <c r="F42" i="67"/>
  <c r="M22" i="67"/>
  <c r="E11" i="76"/>
  <c r="E7" i="76"/>
  <c r="J15" i="15"/>
  <c r="F13" i="67"/>
  <c r="F42" i="15"/>
  <c r="M26" i="15"/>
  <c r="E2" i="69"/>
  <c r="D3" i="73"/>
  <c r="L48" i="15"/>
  <c r="M24" i="15"/>
  <c r="M6" i="15"/>
  <c r="F6" i="67"/>
  <c r="F43" i="15"/>
  <c r="F7" i="73"/>
  <c r="M28" i="67"/>
  <c r="F6" i="73"/>
  <c r="F20" i="31"/>
  <c r="F40" i="67"/>
  <c r="L47" i="15"/>
  <c r="F38" i="15"/>
  <c r="L47" i="67"/>
  <c r="E12" i="76"/>
  <c r="F26" i="15"/>
  <c r="E9" i="76"/>
  <c r="F16" i="15"/>
  <c r="F36" i="15"/>
  <c r="M23" i="15"/>
  <c r="F26" i="67"/>
  <c r="D7" i="73"/>
  <c r="F7" i="67"/>
  <c r="C40" i="68" l="1"/>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E28" i="6"/>
  <c r="K14" i="1"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U25" i="34" l="1"/>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D2" i="37"/>
  <c r="D2" i="34"/>
  <c r="D2" i="36"/>
  <c r="L51" i="15"/>
  <c r="E21" i="80" l="1"/>
  <c r="E20" i="80" s="1"/>
  <c r="D10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12" i="1"/>
  <c r="D20" i="9"/>
  <c r="AO10" i="1"/>
  <c r="D34" i="9"/>
  <c r="D35" i="9"/>
  <c r="AO8" i="1"/>
  <c r="AO11" i="1"/>
  <c r="AO6"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G20" i="9" l="1"/>
  <c r="C103" i="9"/>
  <c r="C21" i="9"/>
  <c r="D22" i="9"/>
  <c r="C102" i="9"/>
  <c r="G19" i="9"/>
  <c r="G21" i="9" s="1"/>
  <c r="J20" i="9" l="1"/>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M48" i="9" s="1"/>
  <c r="M49" i="9" s="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D14" i="74"/>
  <c r="F14" i="74" s="1"/>
  <c r="R22" i="31"/>
  <c r="D45" i="9"/>
  <c r="G7" i="80"/>
  <c r="E7" i="80" s="1"/>
  <c r="E8" i="80" s="1"/>
  <c r="E9" i="80" s="1"/>
  <c r="F7" i="80"/>
  <c r="G8" i="80"/>
  <c r="G9" i="80" s="1"/>
  <c r="D5" i="53"/>
  <c r="H107" i="9"/>
  <c r="G14" i="74"/>
  <c r="B6" i="74" s="1"/>
  <c r="D119" i="9"/>
  <c r="D5" i="52" s="1"/>
  <c r="B49" i="72" s="1"/>
  <c r="D4" i="52"/>
  <c r="B47" i="72" s="1"/>
  <c r="B5" i="74" l="1"/>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<sst xmlns="http://schemas.openxmlformats.org/spreadsheetml/2006/main" count="7957" uniqueCount="3487">
  <si>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</si>
  <si>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</si>
  <si>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</si>
  <si>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</si>
  <si>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</si>
  <si>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</si>
  <si>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</si>
  <si>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</si>
  <si>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</si>
  <si>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</si>
  <si>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</si>
  <si>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</si>
  <si>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</si>
  <si>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</si>
  <si>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</si>
  <si>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</si>
  <si>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</si>
  <si>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</si>
  <si>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</si>
  <si>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</si>
  <si>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</si>
  <si>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</si>
  <si>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</si>
  <si>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</si>
  <si>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</si>
  <si>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</si>
  <si>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</si>
  <si>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</si>
  <si>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</si>
  <si>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</si>
  <si>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</si>
  <si>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</si>
  <si>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</si>
  <si>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</si>
  <si>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</si>
  <si>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</si>
  <si>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</si>
  <si>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</si>
  <si>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</si>
  <si>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</si>
  <si>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</si>
  <si>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</si>
  <si>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</si>
  <si>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</si>
  <si>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</si>
  <si>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</si>
  <si>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</si>
  <si>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</si>
  <si>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</si>
  <si>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</si>
  <si>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</si>
  <si>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</si>
  <si>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</si>
  <si>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</si>
  <si>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</si>
  <si>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</si>
  <si>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</si>
  <si>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</si>
  <si>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</si>
  <si>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</si>
  <si>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</si>
  <si>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</si>
  <si>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</si>
  <si>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</si>
  <si>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</si>
  <si>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</si>
  <si>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</si>
  <si>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</si>
  <si>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</si>
  <si>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</si>
  <si>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</si>
  <si>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</si>
  <si>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</si>
  <si>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</si>
  <si>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</si>
  <si>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</si>
  <si>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</si>
  <si>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</si>
  <si>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</si>
  <si>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</si>
  <si>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</si>
  <si>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</si>
  <si>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</si>
  <si>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</si>
  <si>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</si>
  <si>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</si>
  <si>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</si>
  <si>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</si>
  <si>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</si>
  <si>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</si>
  <si>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</si>
  <si>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</si>
  <si>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</si>
  <si>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</si>
  <si>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</si>
  <si>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</si>
  <si>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</si>
  <si>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</si>
  <si>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</si>
  <si>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</si>
  <si>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</si>
  <si>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</si>
  <si>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</si>
  <si>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</si>
  <si>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</si>
  <si>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</si>
  <si>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</si>
  <si>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</si>
  <si>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</si>
  <si>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</si>
  <si>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</si>
  <si>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</si>
  <si>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</si>
  <si>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</si>
  <si>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</si>
  <si>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</si>
  <si>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</si>
  <si>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</si>
  <si>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</si>
  <si>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</si>
  <si>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</si>
  <si>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</si>
  <si>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</si>
  <si>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</si>
  <si>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</si>
  <si>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</si>
  <si>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</si>
  <si>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</si>
  <si>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</si>
  <si>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</si>
  <si>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</si>
  <si>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</si>
  <si>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</si>
  <si>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</si>
  <si>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</si>
  <si>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</si>
  <si>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</si>
  <si>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</si>
  <si>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</si>
  <si>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</si>
  <si>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</si>
  <si>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</si>
  <si>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</si>
  <si>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</si>
  <si>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</si>
  <si>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</si>
  <si>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</si>
  <si>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</si>
  <si>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</si>
  <si>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</si>
  <si>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</si>
  <si>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</si>
  <si>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</si>
  <si>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</si>
  <si>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</si>
  <si>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</si>
  <si>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</si>
  <si>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</si>
  <si>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</si>
  <si>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</si>
  <si>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</si>
  <si>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</si>
  <si>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</si>
  <si>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</si>
  <si>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</si>
  <si>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</si>
  <si>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</si>
  <si>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</si>
  <si>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</si>
  <si>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</si>
  <si>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</si>
  <si>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</si>
  <si>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</si>
  <si>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</si>
  <si>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</si>
  <si>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</si>
  <si>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</si>
  <si>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</si>
  <si>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</si>
  <si>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</si>
  <si>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</si>
  <si>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</si>
  <si>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</si>
  <si>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</si>
  <si>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</si>
  <si>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</si>
  <si>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</si>
  <si>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</si>
  <si>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</si>
  <si>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</si>
  <si>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</si>
  <si>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</si>
  <si>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</si>
  <si>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</si>
  <si>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</si>
  <si>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</si>
  <si>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</si>
  <si>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</si>
  <si>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</si>
  <si>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</si>
  <si>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</si>
  <si>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</si>
  <si>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</si>
  <si>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</si>
  <si>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</si>
  <si>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</si>
  <si>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</si>
  <si>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</si>
  <si>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</si>
  <si>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</si>
  <si>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</si>
  <si>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</si>
  <si>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</si>
  <si>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</si>
  <si>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</si>
  <si>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</si>
  <si>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</si>
  <si>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</si>
  <si>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</si>
  <si>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</si>
  <si>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</si>
  <si>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</si>
  <si>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</si>
  <si>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</si>
  <si>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</si>
  <si>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</si>
  <si>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</si>
  <si>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</si>
  <si>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</si>
  <si>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</si>
  <si>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</si>
  <si>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</si>
  <si>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</si>
  <si>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</si>
  <si>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</si>
  <si>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</si>
  <si>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</si>
  <si>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</si>
  <si>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</si>
  <si>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</si>
  <si>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</si>
  <si>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</si>
  <si>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</si>
  <si>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</si>
  <si>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</si>
  <si>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</si>
  <si>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</si>
  <si>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</si>
  <si>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</si>
  <si>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</si>
  <si>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</si>
  <si>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</si>
  <si>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</si>
  <si>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</si>
  <si>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</si>
  <si>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</si>
  <si>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</si>
  <si>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</si>
  <si>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</si>
  <si>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</si>
  <si>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</si>
  <si>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</si>
  <si>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</si>
  <si>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</si>
  <si>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</si>
  <si>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</si>
  <si>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</si>
  <si>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</si>
  <si>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</si>
  <si>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</si>
  <si>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</si>
  <si>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</si>
  <si>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</si>
  <si>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</si>
  <si>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</si>
  <si>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</si>
  <si>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</si>
  <si>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</si>
  <si>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</si>
  <si>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</si>
  <si>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</si>
  <si>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</si>
  <si>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</si>
  <si>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</si>
  <si>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</si>
  <si>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</si>
  <si>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</si>
  <si>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</si>
  <si>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</si>
  <si>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</si>
  <si>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</si>
  <si>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</si>
  <si>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</si>
  <si>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</si>
  <si>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</si>
  <si>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</si>
  <si>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</si>
  <si>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</si>
  <si>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</si>
  <si>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</si>
  <si>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</si>
  <si>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</si>
  <si>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</si>
  <si>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</si>
  <si>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</si>
  <si>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</si>
  <si>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</si>
  <si>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</si>
  <si>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</si>
  <si>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</si>
  <si>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</si>
  <si>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</si>
  <si>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</si>
  <si>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</si>
  <si>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</si>
  <si>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</si>
  <si>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</si>
  <si>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</si>
  <si>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</si>
  <si>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</si>
  <si>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</si>
  <si>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</si>
  <si>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</si>
  <si>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</si>
  <si>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</si>
  <si>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</si>
  <si>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</si>
  <si>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</si>
  <si>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</si>
  <si>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</si>
  <si>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</si>
  <si>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</si>
  <si>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</si>
  <si>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</si>
  <si>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</si>
  <si>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</si>
  <si>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</si>
  <si>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</si>
  <si>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</si>
  <si>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</si>
  <si>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</si>
  <si>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</si>
  <si>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</si>
  <si>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</si>
  <si>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</si>
  <si>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</si>
  <si>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</si>
  <si>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</si>
  <si>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</si>
  <si>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</si>
  <si>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</si>
  <si>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</si>
  <si>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</si>
  <si>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</si>
  <si>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</si>
  <si>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</si>
  <si>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</si>
  <si>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</si>
  <si>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</si>
  <si>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</si>
  <si>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</si>
  <si>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</si>
  <si>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</si>
  <si>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</si>
  <si>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</si>
  <si>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</si>
  <si>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</si>
  <si>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</si>
  <si>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</si>
  <si>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</si>
  <si>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</si>
  <si>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</si>
  <si>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</si>
  <si>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</si>
  <si>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</si>
  <si>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</si>
  <si>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</si>
  <si>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</si>
  <si>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</si>
  <si>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</si>
  <si>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</si>
  <si>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</si>
  <si>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</si>
  <si>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</si>
  <si>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</si>
  <si>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</si>
  <si>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</si>
  <si>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</si>
  <si>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</si>
  <si>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</si>
  <si>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</si>
  <si>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</si>
  <si>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</si>
  <si>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</si>
  <si>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</si>
  <si>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</si>
  <si>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</si>
  <si>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</si>
  <si>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</si>
  <si>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</si>
  <si>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</si>
  <si>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</si>
  <si>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</si>
  <si>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</si>
  <si>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</si>
  <si>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</si>
  <si>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</si>
  <si>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</si>
  <si>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</si>
  <si>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</si>
  <si>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</si>
  <si>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</si>
  <si>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</si>
  <si>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</si>
  <si>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</si>
  <si>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</si>
  <si>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</si>
  <si>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</si>
  <si>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</si>
  <si>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</si>
  <si>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</si>
  <si>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</si>
  <si>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</si>
  <si>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</si>
  <si>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</si>
  <si>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</si>
  <si>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</si>
  <si>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</si>
  <si>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</si>
  <si>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</si>
  <si>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</si>
  <si>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</si>
  <si>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</si>
  <si>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</si>
  <si>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</si>
  <si>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</si>
  <si>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</si>
  <si>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</si>
  <si>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</si>
  <si>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</si>
  <si>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</si>
  <si>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</si>
  <si>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</si>
  <si>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</si>
  <si>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</si>
  <si>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</si>
  <si>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</si>
  <si>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</si>
  <si>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</si>
  <si>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</si>
  <si>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</si>
  <si>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</si>
  <si>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</si>
  <si>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</si>
  <si>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</si>
  <si>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</si>
  <si>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</si>
  <si>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</si>
  <si>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</si>
  <si>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</si>
  <si>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</si>
  <si>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</si>
  <si>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</si>
  <si>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</si>
  <si>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</si>
  <si>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</si>
  <si>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</si>
  <si>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</si>
  <si>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</si>
  <si>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</si>
  <si>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</si>
  <si>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</si>
  <si>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</si>
  <si>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</si>
  <si>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</si>
  <si>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</si>
  <si>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</si>
  <si>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</si>
  <si>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</si>
  <si>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</si>
  <si>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</si>
  <si>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</si>
  <si>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</si>
  <si>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</si>
  <si>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</si>
  <si>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</si>
  <si>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</si>
  <si>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</si>
  <si>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</si>
  <si>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</si>
  <si>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</si>
  <si>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</si>
  <si>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</si>
  <si>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</si>
  <si>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</si>
  <si>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</si>
  <si>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</si>
  <si>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</si>
  <si>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</si>
  <si>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</si>
  <si>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</si>
  <si>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</si>
  <si>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</si>
  <si>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</si>
  <si>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</si>
  <si>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</si>
  <si>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</si>
  <si>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</si>
  <si>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</si>
  <si>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</si>
  <si>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</si>
  <si>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</si>
  <si>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</si>
  <si>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</si>
  <si>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</si>
  <si>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</si>
  <si>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</si>
  <si>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</si>
  <si>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</si>
  <si>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</si>
  <si>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</si>
  <si>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</si>
  <si>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</si>
  <si>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</si>
  <si>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</si>
  <si>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</si>
  <si>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</si>
  <si>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</si>
  <si>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</si>
  <si>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</si>
  <si>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</si>
  <si>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</si>
  <si>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</si>
  <si>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</si>
  <si>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</si>
  <si>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</si>
  <si>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</si>
  <si>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</si>
  <si>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</si>
  <si>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</si>
  <si>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</si>
  <si>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</si>
  <si>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</si>
  <si>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</si>
  <si>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</si>
  <si>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</si>
  <si>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</si>
  <si>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</si>
  <si>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</si>
  <si>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</si>
  <si>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</si>
  <si>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</si>
  <si>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</si>
  <si>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</si>
  <si>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</si>
  <si>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</si>
  <si>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</si>
  <si>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</si>
  <si>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</si>
  <si>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</si>
  <si>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</si>
  <si>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</si>
  <si>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</si>
  <si>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</si>
  <si>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</si>
  <si>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</si>
  <si>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</si>
  <si>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</si>
  <si>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</si>
  <si>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</si>
  <si>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</si>
  <si>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</si>
  <si>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</si>
  <si>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</si>
  <si>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</si>
  <si>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</si>
  <si>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</si>
  <si>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</si>
  <si>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</si>
  <si>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</si>
  <si>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</si>
  <si>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</si>
  <si>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</si>
  <si>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</si>
  <si>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</si>
  <si>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</si>
  <si>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</si>
  <si>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</si>
  <si>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</si>
  <si>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</si>
  <si>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</si>
  <si>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</si>
  <si>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</si>
  <si>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</si>
  <si>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</si>
  <si>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</si>
  <si>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</si>
  <si>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</si>
  <si>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</si>
  <si>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</si>
  <si>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</si>
  <si>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</si>
  <si>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</si>
  <si>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</si>
  <si>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</si>
  <si>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</si>
  <si>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</si>
  <si>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</si>
  <si>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</si>
  <si>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</si>
  <si>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</si>
  <si>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</si>
  <si>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</si>
  <si>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</si>
  <si>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</si>
  <si>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</si>
  <si>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</si>
  <si>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</si>
  <si>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</si>
  <si>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</si>
  <si>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</si>
  <si>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</si>
  <si>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</si>
  <si>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</si>
  <si>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</si>
  <si>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</si>
  <si>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</si>
  <si>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</si>
  <si>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</si>
  <si>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</si>
  <si>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</si>
  <si>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</si>
  <si>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</si>
  <si>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</si>
  <si>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</si>
  <si>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</si>
  <si>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</si>
  <si>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</si>
  <si>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</si>
  <si>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</si>
  <si>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</si>
  <si>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</si>
  <si>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</si>
  <si>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</si>
  <si>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</si>
  <si>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</si>
  <si>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</si>
  <si>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</si>
  <si>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</si>
  <si>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</si>
  <si>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</si>
  <si>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</si>
  <si>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</si>
  <si>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</si>
  <si>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</si>
  <si>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</si>
  <si>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</si>
  <si>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</si>
  <si>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</si>
  <si>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</si>
  <si>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</si>
  <si>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</si>
  <si>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</si>
  <si>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</si>
  <si>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</si>
  <si>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</si>
  <si>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</si>
  <si>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</si>
  <si>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</si>
  <si>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</si>
  <si>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</si>
  <si>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</si>
  <si>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</si>
  <si>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</si>
  <si>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</si>
  <si>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</si>
  <si>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</si>
  <si>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</si>
  <si>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</si>
  <si>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</si>
  <si>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</si>
  <si>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</si>
  <si>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</si>
  <si>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</si>
  <si>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</si>
  <si>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</si>
  <si>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</si>
  <si>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</si>
  <si>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</si>
  <si>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</si>
  <si>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</si>
  <si>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</si>
  <si>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</si>
  <si>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</si>
  <si>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</si>
  <si>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</si>
  <si>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</si>
  <si>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</si>
  <si>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</si>
  <si>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</si>
  <si>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</si>
  <si>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</si>
  <si>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</si>
  <si>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</si>
  <si>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</si>
  <si>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</si>
  <si>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</si>
  <si>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</si>
  <si>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</si>
  <si>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</si>
  <si>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</si>
  <si>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</si>
  <si>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</si>
  <si>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</si>
  <si>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</si>
  <si>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</si>
  <si>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</si>
  <si>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</si>
  <si>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</si>
  <si>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</si>
  <si>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</si>
  <si>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</si>
  <si>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</si>
  <si>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</si>
  <si>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</si>
  <si>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</si>
  <si>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</si>
  <si>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</si>
  <si>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</si>
  <si>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</si>
  <si>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</si>
  <si>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</si>
  <si>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</si>
  <si>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</si>
  <si>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</si>
  <si>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</si>
  <si>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</si>
  <si>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</si>
  <si>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</si>
  <si>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</si>
  <si>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</si>
  <si>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</si>
  <si>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</si>
  <si>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</si>
  <si>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</si>
  <si>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</si>
  <si>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</si>
  <si>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</si>
  <si>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</si>
  <si>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</si>
  <si>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</si>
  <si>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</si>
  <si>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</si>
  <si>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</si>
  <si>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</si>
  <si>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</si>
  <si>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</si>
  <si>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</si>
  <si>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</si>
  <si>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</si>
  <si>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</si>
  <si>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</si>
  <si>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</si>
  <si>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</si>
  <si>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</si>
  <si>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</si>
  <si>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</si>
  <si>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</si>
  <si>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</si>
  <si>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</si>
  <si>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</si>
  <si>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</si>
  <si>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</si>
  <si>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</si>
  <si>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</si>
  <si>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</si>
  <si>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</si>
  <si>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</si>
  <si>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</si>
  <si>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</si>
  <si>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</si>
  <si>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</si>
  <si>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</si>
  <si>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</si>
  <si>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</si>
  <si>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</si>
  <si>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</si>
  <si>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</si>
  <si>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</si>
  <si>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</si>
  <si>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</si>
  <si>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</si>
  <si>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</si>
  <si>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</si>
  <si>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</si>
  <si>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</si>
  <si>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</si>
  <si>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</si>
  <si>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</si>
  <si>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</si>
  <si>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</si>
  <si>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</si>
  <si>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</si>
  <si>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</si>
  <si>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</si>
  <si>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</si>
  <si>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</si>
  <si>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</si>
  <si>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</si>
  <si>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</si>
  <si>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</si>
  <si>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</si>
  <si>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</si>
  <si>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</si>
  <si>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</si>
  <si>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</si>
  <si>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</si>
  <si>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</si>
  <si>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</si>
  <si>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</si>
  <si>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</si>
  <si>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</si>
  <si>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</si>
  <si>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</si>
  <si>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</si>
  <si>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</si>
  <si>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</si>
  <si>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</si>
  <si>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</si>
  <si>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</si>
  <si>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</si>
  <si>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</si>
  <si>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</si>
  <si>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</si>
  <si>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</si>
  <si>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</si>
  <si>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</si>
  <si>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</si>
  <si>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</si>
  <si>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</si>
  <si>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</si>
  <si>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</si>
  <si>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</si>
  <si>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</si>
  <si>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</si>
  <si>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</si>
  <si>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</si>
  <si>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</si>
  <si>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</si>
  <si>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</si>
  <si>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</si>
  <si>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</si>
  <si>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</si>
  <si>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</si>
  <si>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</si>
  <si>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</si>
  <si>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</si>
  <si>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</si>
  <si>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</si>
  <si>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</si>
  <si>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</si>
  <si>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</si>
  <si>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</si>
  <si>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</si>
  <si>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</si>
  <si>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</si>
  <si>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</si>
  <si>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</si>
  <si>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</si>
  <si>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</si>
  <si>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</si>
  <si>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</si>
  <si>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</si>
  <si>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</si>
  <si>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</si>
  <si>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</si>
  <si>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</si>
  <si>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</si>
  <si>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</si>
  <si>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</si>
  <si>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</si>
  <si>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</si>
  <si>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</si>
  <si>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</si>
  <si>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</si>
  <si>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</si>
  <si>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</si>
  <si>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</si>
  <si>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</si>
  <si>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</si>
  <si>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</si>
  <si>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</si>
  <si>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</si>
  <si>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</si>
  <si>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</si>
  <si>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</si>
  <si>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</si>
  <si>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</si>
  <si>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</si>
  <si>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</si>
  <si>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</si>
  <si>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</si>
  <si>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</si>
  <si>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</si>
  <si>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</si>
  <si>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</si>
  <si>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</si>
  <si>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</si>
  <si>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</si>
  <si>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</si>
  <si>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</si>
  <si>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</si>
  <si>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</si>
  <si>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</si>
  <si>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</si>
  <si>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</si>
  <si>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</si>
  <si>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</si>
  <si>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</si>
  <si>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</si>
  <si>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</si>
  <si>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</si>
  <si>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</si>
  <si>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</si>
  <si>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</si>
  <si>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</si>
  <si>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</si>
  <si>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</si>
  <si>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</si>
  <si>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</si>
  <si>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</si>
  <si>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</si>
  <si>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</si>
  <si>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</si>
  <si>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</si>
  <si>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</si>
  <si>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</si>
  <si>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</si>
  <si>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</si>
  <si>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</si>
  <si>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</si>
  <si>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</si>
  <si>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</si>
  <si>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</si>
  <si>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</si>
  <si>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</si>
  <si>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</si>
  <si>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</si>
  <si>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</si>
  <si>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</si>
  <si>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</si>
  <si>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</si>
  <si>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</si>
  <si>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</si>
  <si>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</si>
  <si>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</si>
  <si>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</si>
  <si>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</si>
  <si>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</si>
  <si>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</si>
  <si>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</si>
  <si>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</si>
  <si>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</si>
  <si>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</si>
  <si>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</si>
  <si>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</si>
  <si>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</si>
  <si>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</si>
  <si>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</si>
  <si>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</si>
  <si>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</si>
  <si>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</si>
  <si>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</si>
  <si>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</si>
  <si>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</si>
  <si>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</si>
  <si>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</si>
  <si>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</si>
  <si>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</si>
  <si>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</si>
  <si>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</si>
  <si>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</si>
  <si>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</si>
  <si>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</si>
  <si>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</si>
  <si>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</si>
  <si>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</si>
  <si>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</si>
  <si>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</si>
  <si>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</si>
  <si>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</si>
  <si>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</si>
  <si>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</si>
  <si>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</si>
  <si>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</si>
  <si>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</si>
  <si>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</si>
  <si>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</si>
  <si>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</si>
  <si>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</si>
  <si>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</si>
  <si>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</si>
  <si>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</si>
  <si>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</si>
  <si>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</si>
  <si>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</si>
  <si>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</si>
  <si>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</si>
  <si>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</si>
  <si>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</si>
  <si>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</si>
  <si>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</si>
  <si>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</si>
  <si>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</si>
  <si>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</si>
  <si>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</si>
  <si>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</si>
  <si>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</si>
  <si>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</si>
  <si>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</si>
  <si>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</si>
  <si>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</si>
  <si>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</si>
  <si>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</si>
  <si>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</si>
  <si>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</si>
  <si>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</si>
  <si>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</si>
  <si>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</si>
  <si>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</si>
  <si>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</si>
  <si>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</si>
  <si>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</si>
  <si>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</si>
  <si>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</si>
  <si>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</si>
  <si>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</si>
  <si>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</si>
  <si>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</si>
  <si>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</si>
  <si>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</si>
  <si>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</si>
  <si>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</si>
  <si>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</si>
  <si>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</si>
  <si>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</si>
  <si>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</si>
  <si>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</si>
  <si>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</si>
  <si>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</si>
  <si>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</si>
  <si>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</si>
  <si>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</si>
  <si>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</si>
  <si>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</si>
  <si>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</si>
  <si>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</si>
  <si>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</si>
  <si>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</si>
  <si>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</si>
  <si>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</si>
  <si>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</si>
  <si>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</si>
  <si>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</si>
  <si>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</si>
  <si>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</si>
  <si>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</si>
  <si>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</si>
  <si>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</si>
  <si>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</si>
  <si>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</si>
  <si>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</si>
  <si>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</si>
  <si>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</si>
  <si>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</si>
  <si>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</si>
  <si>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</si>
  <si>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</si>
  <si>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</si>
  <si>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</si>
  <si>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</si>
  <si>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</si>
  <si>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</si>
  <si>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</si>
  <si>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</si>
  <si>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</si>
  <si>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</si>
  <si>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</si>
  <si>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</si>
  <si>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</si>
  <si>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</si>
  <si>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</si>
  <si>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</si>
  <si>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</si>
  <si>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</si>
  <si>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</si>
  <si>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</si>
  <si>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</si>
  <si>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</si>
  <si>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</si>
  <si>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</si>
  <si>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</si>
  <si>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</si>
  <si>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</si>
  <si>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</si>
  <si>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</si>
  <si>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</si>
  <si>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</si>
  <si>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</si>
  <si>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</si>
  <si>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</si>
  <si>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</si>
  <si>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</si>
  <si>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</si>
  <si>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</si>
  <si>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</si>
  <si>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</si>
  <si>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</si>
  <si>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</si>
  <si>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</si>
  <si>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</si>
  <si>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</si>
  <si>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</si>
  <si>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</si>
  <si>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</si>
  <si>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</si>
  <si>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</si>
  <si>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</si>
  <si>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</si>
  <si>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</si>
  <si>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</si>
  <si>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</si>
  <si>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</si>
  <si>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</si>
  <si>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</si>
  <si>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</si>
  <si>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</si>
  <si>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</si>
  <si>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</si>
  <si>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</si>
  <si>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</si>
  <si>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</si>
  <si>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</si>
  <si>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</si>
  <si>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</si>
  <si>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</si>
  <si>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</si>
  <si>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</si>
  <si>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</si>
  <si>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</si>
  <si>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</si>
  <si>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</si>
  <si>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</si>
  <si>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</si>
  <si>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</si>
  <si>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</si>
  <si>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</si>
  <si>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</si>
  <si>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</si>
  <si>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</si>
  <si>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</si>
  <si>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</si>
  <si>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</si>
  <si>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</si>
  <si>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</si>
  <si>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</si>
  <si>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</si>
  <si>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</si>
  <si>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</si>
  <si>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</si>
  <si>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</si>
  <si>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</si>
  <si>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</si>
  <si>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</si>
  <si>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</si>
  <si>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</si>
  <si>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</si>
  <si>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</si>
  <si>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</si>
  <si>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</si>
  <si>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</si>
  <si>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</si>
  <si>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</si>
  <si>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</si>
  <si>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</si>
  <si>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</si>
  <si>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</si>
  <si>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</si>
  <si>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</si>
  <si>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</si>
  <si>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</si>
  <si>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</si>
  <si>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</si>
  <si>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</si>
  <si>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</si>
  <si>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</si>
  <si>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</si>
  <si>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</si>
  <si>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</si>
  <si>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</si>
  <si>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</si>
  <si>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</si>
  <si>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</si>
  <si>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</si>
  <si>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</si>
  <si>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</si>
  <si>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</si>
  <si>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</si>
  <si>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</si>
  <si>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</si>
  <si>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</si>
  <si>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</si>
  <si>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</si>
  <si>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</si>
  <si>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</si>
  <si>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</si>
  <si>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</si>
  <si>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</si>
  <si>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</si>
  <si>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</si>
  <si>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</si>
  <si>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</si>
  <si>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</si>
  <si>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</si>
  <si>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</si>
  <si>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</si>
  <si>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</si>
  <si>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</si>
  <si>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</si>
  <si>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</si>
  <si>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</si>
  <si>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</si>
  <si>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</si>
  <si>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</si>
  <si>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</si>
  <si>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</si>
  <si>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</si>
  <si>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</si>
  <si>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</si>
  <si>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</si>
  <si>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</si>
  <si>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</si>
  <si>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</si>
  <si>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</si>
  <si>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</si>
  <si>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</si>
  <si>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</si>
  <si>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</si>
  <si>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</si>
  <si>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</si>
  <si>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</si>
  <si>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</si>
  <si>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</si>
  <si>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</si>
  <si>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</si>
  <si>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</si>
  <si>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</si>
  <si>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</si>
  <si>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</si>
  <si>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</si>
  <si>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</si>
  <si>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</si>
  <si>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</si>
  <si>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</si>
  <si>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</si>
  <si>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</si>
  <si>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</si>
  <si>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</si>
  <si>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</si>
  <si>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</si>
  <si>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</si>
  <si>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</si>
  <si>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</si>
  <si>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</si>
  <si>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</si>
  <si>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</si>
  <si>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</si>
  <si>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</si>
  <si>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</si>
  <si>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</si>
  <si>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</si>
  <si>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</si>
  <si>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</si>
  <si>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</si>
  <si>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</si>
  <si>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</si>
  <si>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</si>
  <si>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</si>
  <si>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</si>
  <si>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</si>
  <si>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</si>
  <si>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</si>
  <si>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</si>
  <si>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</si>
  <si>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</si>
  <si>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</si>
  <si>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</si>
  <si>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</si>
  <si>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</si>
  <si>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</si>
  <si>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</si>
  <si>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</si>
  <si>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</si>
  <si>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</si>
  <si>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</si>
  <si>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</si>
  <si>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</si>
  <si>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</si>
  <si>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</si>
  <si>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</si>
  <si>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</si>
  <si>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</si>
  <si>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</si>
  <si>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</si>
  <si>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</si>
  <si>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</si>
  <si>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</si>
  <si>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</si>
  <si>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</si>
  <si>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</si>
  <si>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</si>
  <si>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</si>
  <si>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</si>
  <si>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</si>
  <si>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</si>
  <si>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</si>
  <si>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</si>
  <si>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</si>
  <si>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</si>
  <si>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</si>
  <si>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</si>
  <si>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</si>
  <si>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</si>
  <si>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</si>
  <si>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</si>
  <si>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</si>
  <si>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</si>
  <si>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</si>
  <si>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</si>
  <si>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</si>
  <si>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</si>
  <si>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</si>
  <si>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</si>
  <si>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</si>
  <si>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</si>
  <si>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</si>
  <si>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</si>
  <si>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</si>
  <si>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</si>
  <si>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</si>
  <si>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</si>
  <si>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</si>
  <si>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</si>
  <si>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</si>
  <si>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</si>
  <si>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</si>
  <si>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</si>
  <si>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</si>
  <si>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</si>
  <si>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</si>
  <si>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</si>
  <si>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</si>
  <si>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</si>
  <si>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</si>
  <si>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</si>
  <si>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</si>
  <si>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</si>
  <si>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</si>
  <si>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</si>
  <si>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</si>
  <si>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</si>
  <si>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</si>
  <si>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</si>
  <si>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</si>
  <si>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</si>
  <si>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</si>
  <si>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</si>
  <si>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</si>
  <si>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</si>
  <si>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</si>
  <si>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</si>
  <si>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</si>
  <si>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</si>
  <si>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</si>
  <si>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</si>
  <si>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</si>
  <si>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</si>
  <si>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</si>
  <si>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</si>
  <si>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</si>
  <si>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</si>
  <si>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</si>
  <si>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</si>
  <si>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</si>
  <si>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</si>
  <si>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</si>
  <si>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</si>
  <si>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</si>
  <si>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</si>
  <si>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</si>
  <si>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</si>
  <si>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</si>
  <si>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</si>
  <si>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</si>
  <si>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</si>
  <si>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</si>
  <si>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</si>
  <si>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</si>
  <si>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</si>
  <si>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</si>
  <si>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</si>
  <si>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</si>
  <si>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</si>
  <si>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</si>
  <si>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</si>
  <si>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</si>
  <si>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</si>
  <si>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</si>
  <si>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</si>
  <si>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</si>
  <si>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</si>
  <si>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</si>
  <si>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</si>
  <si>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</si>
  <si>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</si>
  <si>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</si>
  <si>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</si>
  <si>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</si>
  <si>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</si>
  <si>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</si>
  <si>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</si>
  <si>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</si>
  <si>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</si>
  <si>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</si>
  <si>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</si>
  <si>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</si>
  <si>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</si>
  <si>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</si>
  <si>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</si>
  <si>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</si>
  <si>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</si>
  <si>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</si>
  <si>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</si>
  <si>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</si>
  <si>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</si>
  <si>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</si>
  <si>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</si>
  <si>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</si>
  <si>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</si>
  <si>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</si>
  <si>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</si>
  <si>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</si>
  <si>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</si>
  <si>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</si>
  <si>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</si>
  <si>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</si>
  <si>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</si>
  <si>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</si>
  <si>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</si>
  <si>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</si>
  <si>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</si>
  <si>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</si>
  <si>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</si>
  <si>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</si>
  <si>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</si>
  <si>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</si>
  <si>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</si>
  <si>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</si>
  <si>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</si>
  <si>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</si>
  <si>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</si>
  <si>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</si>
  <si>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</si>
  <si>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</si>
  <si>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</si>
  <si>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</si>
  <si>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</si>
  <si>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</si>
  <si>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</si>
  <si>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</si>
  <si>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</si>
  <si>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</si>
  <si>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</si>
  <si>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</si>
  <si>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</si>
  <si>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</si>
  <si>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</si>
  <si>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</si>
  <si>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</si>
  <si>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</si>
  <si>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</si>
  <si>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</si>
  <si>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</si>
  <si>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</si>
  <si>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</si>
  <si>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</si>
  <si>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</si>
  <si>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</si>
  <si>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</si>
  <si>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</si>
  <si>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</si>
  <si>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</si>
  <si>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</si>
  <si>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</si>
  <si>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</si>
  <si>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</si>
  <si>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</si>
  <si>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</si>
  <si>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</si>
  <si>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</si>
  <si>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</si>
  <si>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</si>
  <si>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</si>
  <si>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</si>
  <si>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</si>
  <si>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</si>
  <si>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</si>
  <si>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</si>
  <si>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</si>
  <si>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</si>
  <si>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</si>
  <si>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</si>
  <si>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</si>
  <si>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</si>
  <si>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</si>
  <si>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</si>
  <si>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</si>
  <si>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</si>
  <si>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</si>
  <si>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</si>
  <si>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</si>
  <si>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</si>
  <si>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</si>
  <si>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</si>
  <si>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</si>
  <si>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</si>
  <si>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</si>
  <si>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</si>
  <si>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</si>
  <si>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</si>
  <si>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</si>
  <si>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</si>
  <si>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</si>
  <si>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</si>
  <si>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</si>
  <si>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</si>
  <si>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</si>
  <si>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</si>
  <si>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</si>
  <si>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</si>
  <si>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</si>
  <si>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</si>
  <si>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</si>
  <si>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</si>
  <si>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</si>
  <si>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</si>
  <si>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</si>
  <si>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</si>
  <si>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</si>
  <si>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</si>
  <si>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</si>
  <si>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</si>
  <si>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</si>
  <si>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</si>
  <si>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</si>
  <si>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</si>
  <si>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</si>
  <si>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</si>
  <si>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</si>
  <si>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</si>
  <si>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</si>
  <si>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</si>
  <si>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</si>
  <si>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</si>
  <si>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</si>
  <si>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</si>
  <si>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</si>
  <si>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</si>
  <si>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</si>
  <si>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</si>
  <si>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</si>
  <si>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</si>
  <si>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</si>
  <si>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</si>
  <si>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</si>
  <si>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</si>
  <si>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</si>
  <si>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</si>
  <si>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</si>
  <si>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</si>
  <si>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</si>
  <si>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</si>
  <si>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</si>
  <si>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</si>
  <si>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</si>
  <si>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</si>
  <si>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</si>
  <si>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</si>
  <si>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</si>
  <si>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</si>
  <si>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</si>
  <si>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</si>
  <si>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</si>
  <si>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</si>
  <si>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</si>
  <si>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</si>
  <si>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</si>
  <si>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</si>
  <si>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</si>
  <si>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</si>
  <si>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</si>
  <si>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</si>
  <si>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</si>
  <si>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</si>
  <si>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</si>
  <si>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</si>
  <si>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</si>
  <si>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</si>
  <si>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</si>
  <si>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</si>
  <si>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</si>
  <si>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</si>
  <si>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</si>
  <si>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</si>
  <si>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</si>
  <si>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</si>
  <si>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</si>
  <si>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</si>
  <si>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</si>
  <si>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</si>
  <si>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</si>
  <si>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</si>
  <si>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</si>
  <si>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</si>
  <si>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</si>
  <si>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</si>
  <si>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</si>
  <si>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</si>
  <si>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</si>
  <si>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</si>
  <si>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</si>
  <si>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</si>
  <si>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</si>
  <si>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</si>
  <si>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</si>
  <si>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</si>
  <si>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</si>
  <si>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</si>
  <si>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</si>
  <si>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</si>
  <si>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</si>
  <si>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</si>
  <si>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</si>
  <si>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</si>
  <si>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</si>
  <si>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</si>
  <si>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</si>
  <si>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</si>
  <si>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</si>
  <si>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</si>
  <si>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</si>
  <si>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</si>
  <si>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</si>
  <si>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</si>
  <si>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</si>
  <si>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</si>
  <si>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</si>
  <si>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</si>
  <si>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</si>
  <si>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</si>
  <si>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</si>
  <si>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</si>
  <si>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</si>
  <si>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</si>
  <si>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</si>
  <si>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</si>
  <si>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</si>
  <si>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</si>
  <si>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</si>
  <si>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</si>
  <si>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</si>
  <si>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</si>
  <si>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</si>
  <si>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</si>
  <si>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</si>
  <si>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</si>
  <si>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</si>
  <si>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</si>
  <si>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</si>
  <si>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</si>
  <si>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</si>
  <si>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</si>
  <si>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</si>
  <si>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</si>
  <si>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</si>
  <si>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</si>
  <si>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</si>
  <si>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</si>
  <si>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</si>
  <si>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</si>
  <si>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</si>
  <si>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</si>
  <si>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</si>
  <si>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</si>
  <si>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</si>
  <si>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</si>
  <si>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</si>
  <si>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</si>
  <si>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</si>
  <si>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</si>
  <si>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</si>
  <si>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</si>
  <si>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</si>
  <si>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</si>
  <si>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</si>
  <si>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</si>
  <si>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</si>
  <si>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</si>
  <si>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</si>
  <si>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</si>
  <si>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</si>
  <si>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</si>
  <si>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</si>
  <si>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</si>
  <si>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</si>
  <si>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</si>
  <si>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</si>
  <si>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</si>
  <si>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</si>
  <si>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</si>
  <si>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</si>
  <si>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</si>
  <si>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</si>
  <si>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</si>
  <si>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</si>
  <si>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</si>
  <si>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</si>
  <si>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</si>
  <si>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</si>
  <si>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</si>
  <si>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</si>
  <si>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</si>
  <si>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</si>
  <si>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</si>
  <si>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</si>
  <si>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</si>
  <si>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</si>
  <si>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</si>
  <si>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</si>
  <si>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</si>
  <si>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</si>
  <si>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</si>
  <si>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</si>
  <si>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</si>
  <si>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</si>
  <si>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</si>
  <si>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</si>
  <si>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</si>
  <si>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</si>
  <si>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</si>
  <si>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</si>
  <si>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</si>
  <si>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</si>
  <si>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</si>
  <si>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</si>
  <si>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</si>
  <si>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</si>
  <si>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</si>
  <si>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</si>
  <si>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</si>
  <si>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</si>
  <si>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</si>
  <si>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</si>
  <si>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</si>
  <si>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</si>
  <si>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</si>
  <si>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</si>
  <si>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</si>
  <si>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</si>
  <si>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</si>
  <si>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</si>
  <si>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</si>
  <si>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</si>
  <si>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</si>
  <si>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</si>
  <si>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</si>
  <si>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</si>
  <si>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</si>
  <si>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</si>
  <si>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</si>
  <si>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</si>
  <si>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</si>
  <si>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</si>
  <si>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</si>
  <si>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</si>
  <si>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</si>
  <si>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</si>
  <si>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</si>
  <si>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</si>
  <si>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</si>
  <si>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</si>
  <si>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</si>
  <si>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</si>
  <si>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</si>
  <si>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</si>
  <si>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</si>
  <si>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</si>
  <si>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</si>
  <si>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</si>
  <si>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</si>
  <si>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</si>
  <si>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</si>
  <si>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</si>
  <si>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</si>
  <si>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</si>
  <si>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</si>
  <si>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</si>
  <si>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</si>
  <si>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</si>
  <si>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</si>
  <si>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</si>
  <si>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</si>
  <si>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</si>
  <si>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</si>
  <si>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</si>
  <si>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</si>
  <si>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</si>
  <si>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</si>
  <si>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</si>
  <si>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</si>
  <si>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</si>
  <si>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</si>
  <si>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</si>
  <si>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</si>
  <si>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</si>
  <si>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</si>
  <si>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</si>
  <si>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</si>
  <si>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</si>
  <si>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</si>
  <si>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</si>
  <si>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</si>
  <si>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</si>
  <si>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</si>
  <si>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</si>
  <si>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</si>
  <si>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</si>
  <si>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</si>
  <si>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</si>
  <si>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</si>
  <si>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</si>
  <si>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</si>
  <si>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</si>
  <si>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</si>
  <si>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</si>
  <si>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</si>
  <si>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</si>
  <si>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</si>
  <si>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</si>
  <si>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</si>
  <si>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</si>
  <si>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</si>
  <si>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</si>
  <si>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</si>
  <si>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</si>
  <si>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</si>
  <si>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</si>
  <si>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</si>
  <si>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</si>
  <si>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</si>
  <si>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</si>
  <si>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</si>
  <si>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</si>
  <si>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</si>
  <si>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</si>
  <si>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</si>
  <si>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</si>
  <si>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</si>
  <si>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</si>
  <si>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</si>
  <si>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</si>
  <si>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</si>
  <si>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</si>
  <si>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</si>
  <si>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</si>
  <si>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</si>
  <si>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</si>
  <si>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</si>
  <si>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</si>
  <si>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</si>
  <si>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</si>
  <si>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</si>
  <si>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</si>
  <si>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</si>
  <si>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</si>
  <si>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</si>
  <si>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</si>
  <si>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</si>
  <si>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</si>
  <si>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</si>
  <si>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</si>
  <si>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</si>
  <si>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</si>
  <si>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</si>
  <si>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</si>
  <si>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</si>
  <si>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</si>
  <si>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</si>
  <si>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</si>
  <si>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</si>
  <si>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</si>
  <si>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</si>
  <si>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</si>
  <si>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</si>
  <si>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</si>
  <si>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</si>
  <si>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</si>
  <si>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</si>
  <si>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</si>
  <si>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</si>
  <si>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</si>
  <si>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</si>
  <si>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</si>
  <si>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</si>
  <si>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</si>
  <si>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</si>
  <si>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</si>
  <si>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</si>
  <si>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</si>
  <si>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</si>
  <si>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</si>
  <si>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</si>
  <si>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</si>
  <si>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</si>
  <si>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</si>
  <si>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</si>
  <si>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</si>
  <si>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</si>
  <si>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</si>
  <si>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</si>
  <si>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</si>
  <si>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</si>
  <si>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</si>
  <si>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</si>
  <si>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</si>
  <si>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</si>
  <si>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</si>
  <si>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</si>
  <si>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</si>
  <si>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</si>
  <si>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</si>
  <si>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</si>
  <si>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</si>
  <si>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</si>
  <si>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</si>
  <si>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</si>
  <si>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</si>
  <si>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</si>
  <si>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</si>
  <si>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</si>
  <si>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</si>
  <si>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</si>
  <si>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</si>
  <si>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</si>
  <si>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</si>
  <si>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</si>
  <si>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</si>
  <si>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</si>
  <si>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</si>
  <si>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</si>
  <si>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</si>
  <si>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</si>
  <si>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</si>
  <si>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</si>
  <si>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</si>
  <si>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</si>
  <si>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</si>
  <si>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</si>
  <si>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</si>
  <si>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</si>
  <si>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</si>
  <si>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</si>
  <si>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</si>
  <si>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</si>
  <si>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</si>
  <si>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</si>
  <si>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</si>
  <si>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</si>
  <si>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</si>
  <si>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</si>
  <si>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</si>
  <si>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</si>
  <si>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</si>
  <si>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</si>
  <si>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</si>
  <si>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</si>
  <si>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</si>
  <si>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</si>
  <si>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</si>
  <si>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</si>
  <si>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</si>
  <si>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</si>
  <si>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</si>
  <si>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</si>
  <si>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</si>
  <si>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</si>
  <si>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</si>
  <si>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</si>
  <si>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</si>
  <si>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</si>
  <si>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</si>
  <si>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</si>
  <si>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</si>
  <si>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</si>
  <si>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</si>
  <si>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</si>
  <si>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</si>
  <si>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</si>
  <si>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</si>
  <si>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</si>
  <si>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</si>
  <si>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</si>
  <si>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</si>
  <si>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</si>
  <si>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</si>
  <si>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</si>
  <si>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</si>
  <si>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</si>
  <si>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</si>
  <si>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</si>
  <si>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</si>
  <si>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</si>
  <si>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</si>
  <si>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</si>
  <si>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</si>
  <si>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</si>
  <si>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</si>
  <si>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</si>
  <si>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</si>
  <si>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</si>
  <si>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</si>
  <si>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</si>
  <si>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</si>
  <si>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</si>
  <si>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</si>
  <si>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</si>
  <si>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</si>
  <si>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</si>
  <si>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</si>
  <si>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</si>
  <si>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</si>
  <si>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</si>
  <si>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</si>
  <si>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</si>
  <si>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</si>
  <si>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</si>
  <si>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</si>
  <si>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</si>
  <si>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</si>
  <si>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</si>
  <si>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</si>
  <si>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</si>
  <si>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</si>
  <si>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</si>
  <si>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</si>
  <si>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</si>
  <si>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</si>
  <si>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</si>
  <si>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</si>
  <si>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</si>
  <si>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</si>
  <si>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</si>
  <si>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</si>
  <si>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</si>
  <si>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</si>
  <si>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</si>
  <si>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</si>
  <si>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</si>
  <si>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</si>
  <si>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</si>
  <si>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</si>
  <si>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</si>
  <si>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</si>
  <si>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</si>
  <si>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</si>
  <si>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</si>
  <si>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</si>
  <si>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</si>
  <si>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</si>
  <si>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</si>
  <si>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</si>
  <si>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</si>
  <si>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</si>
  <si>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</si>
  <si>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</si>
  <si>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</si>
  <si>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</si>
  <si>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</si>
  <si>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</si>
  <si>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</si>
  <si>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</si>
  <si>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</si>
  <si>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</si>
  <si>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</si>
  <si>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</si>
  <si>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</si>
  <si>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</si>
  <si>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</si>
  <si>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</si>
  <si>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</si>
  <si>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</si>
  <si>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</si>
  <si>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</si>
  <si>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</si>
  <si>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</si>
  <si>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</si>
  <si>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</si>
  <si>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</si>
  <si>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</si>
  <si>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</si>
  <si>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</si>
  <si>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</si>
  <si>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</si>
  <si>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</si>
  <si>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</si>
  <si>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</si>
  <si>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</si>
  <si>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</si>
  <si>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</si>
  <si>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</si>
  <si>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</si>
  <si>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</si>
  <si>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</si>
  <si>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</si>
  <si>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</si>
  <si>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</si>
  <si>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</si>
  <si>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</si>
  <si>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</si>
  <si>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</si>
  <si>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</si>
  <si>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</si>
  <si>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</si>
  <si>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</si>
  <si>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</si>
  <si>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</si>
  <si>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</si>
  <si>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</si>
  <si>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</si>
  <si>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</si>
  <si>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</si>
  <si>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</si>
  <si>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</si>
  <si>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</si>
  <si>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</si>
  <si>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</si>
  <si>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</si>
  <si>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</si>
  <si>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</si>
  <si>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</si>
  <si>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</si>
  <si>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</si>
  <si>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</si>
  <si>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</si>
  <si>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</si>
  <si>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</si>
  <si>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</si>
  <si>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</si>
  <si>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</si>
  <si>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</si>
  <si>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</si>
  <si>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</si>
  <si>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</si>
  <si>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</si>
  <si>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</si>
  <si>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</si>
  <si>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</si>
  <si>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</si>
  <si>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</si>
  <si>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</si>
  <si>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</si>
  <si>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</si>
  <si>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</si>
  <si>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</si>
  <si>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</si>
  <si>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</si>
  <si>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</si>
  <si>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</si>
  <si>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</si>
  <si>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</si>
  <si>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</si>
  <si>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</si>
  <si>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</si>
  <si>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</si>
  <si>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</si>
  <si>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</si>
  <si>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</si>
  <si>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</si>
  <si>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</si>
  <si>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</si>
  <si>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</si>
  <si>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</si>
  <si>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</si>
  <si>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</si>
  <si>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</si>
  <si>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</si>
  <si>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</si>
  <si>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</si>
  <si>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</si>
  <si>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</si>
  <si>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</si>
  <si>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</si>
  <si>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</si>
  <si>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</si>
  <si>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</si>
  <si>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</si>
  <si>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</si>
  <si>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</si>
  <si>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</si>
  <si>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</si>
  <si>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</si>
  <si>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</si>
  <si>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</si>
  <si>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</si>
  <si>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</si>
  <si>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</si>
  <si>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</si>
  <si>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</si>
  <si>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</si>
  <si>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</si>
  <si>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</si>
  <si>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</si>
  <si>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</si>
  <si>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</si>
  <si>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</si>
  <si>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</si>
  <si>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</si>
  <si>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</si>
  <si>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</si>
  <si>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</si>
  <si>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</si>
  <si>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</si>
  <si>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</si>
  <si>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</si>
  <si>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</si>
  <si>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</si>
  <si>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</si>
  <si>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</si>
  <si>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</si>
  <si>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</si>
  <si>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</si>
  <si>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</si>
  <si>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</si>
  <si>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</si>
  <si>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</si>
  <si>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</si>
  <si>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</si>
  <si>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</si>
  <si>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</si>
  <si>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</si>
  <si>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</si>
  <si>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</si>
  <si>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</si>
  <si>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</si>
  <si>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</si>
  <si>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</si>
  <si>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</si>
  <si>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</si>
  <si>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</si>
  <si>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</si>
  <si>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</si>
  <si>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</si>
  <si>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</si>
  <si>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</si>
  <si>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</si>
  <si>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</si>
  <si>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</si>
  <si>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</si>
  <si>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</si>
  <si>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</si>
  <si>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</si>
  <si>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</si>
  <si>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</si>
  <si>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</si>
  <si>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</si>
  <si>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</si>
  <si>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</si>
  <si>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</si>
  <si>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</si>
  <si>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</si>
  <si>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</si>
  <si>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</si>
  <si>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</si>
  <si>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</si>
  <si>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</si>
  <si>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</si>
  <si>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</si>
  <si>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</si>
  <si>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</si>
  <si>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</si>
  <si>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</si>
  <si>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</si>
  <si>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</si>
  <si>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</si>
  <si>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</si>
  <si>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</si>
  <si>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</si>
  <si>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</si>
  <si>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</si>
  <si>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</si>
  <si>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</si>
  <si>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</si>
  <si>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</si>
  <si>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</si>
  <si>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</si>
  <si>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</si>
  <si>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</si>
  <si>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</si>
  <si>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</si>
  <si>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</si>
  <si>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</si>
  <si>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</si>
  <si>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</si>
  <si>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</si>
  <si>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</si>
  <si>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</si>
  <si>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</si>
  <si>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</si>
  <si>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</si>
  <si>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</si>
  <si>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</si>
  <si>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</si>
  <si>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</si>
  <si>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</si>
  <si>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</si>
  <si>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</si>
  <si>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</si>
  <si>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</si>
  <si>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</si>
  <si>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</si>
  <si>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</si>
  <si>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</si>
  <si>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</si>
  <si>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</si>
  <si>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</si>
  <si>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</si>
  <si>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</si>
  <si>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</si>
  <si>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</si>
  <si>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</si>
  <si>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</si>
  <si>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</si>
  <si>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</si>
  <si>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</si>
  <si>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</si>
  <si>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</si>
  <si>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</si>
  <si>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</si>
  <si>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</si>
  <si>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</si>
  <si>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</si>
  <si>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</si>
  <si>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</si>
  <si>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</si>
  <si>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</si>
  <si>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</si>
  <si>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</si>
  <si>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</si>
  <si>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</si>
  <si>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</si>
  <si>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</si>
  <si>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</si>
  <si>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</si>
  <si>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</si>
  <si>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</si>
  <si>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</si>
  <si>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</si>
  <si>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</si>
  <si>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</si>
  <si>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</si>
  <si>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</si>
  <si>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</si>
  <si>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</si>
  <si>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</si>
  <si>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</si>
  <si>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</si>
  <si>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</si>
  <si>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</si>
  <si>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</si>
  <si>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</si>
  <si>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</si>
  <si>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</si>
  <si>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</si>
  <si>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</si>
  <si>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</si>
  <si>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</si>
  <si>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</si>
  <si>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</si>
  <si>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</si>
  <si>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</si>
  <si>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</si>
  <si>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</si>
  <si>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</si>
  <si>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</si>
  <si>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</si>
  <si>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</si>
  <si>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</si>
  <si>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</si>
  <si>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</si>
  <si>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</si>
  <si>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</si>
  <si>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</si>
  <si>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</si>
  <si>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</si>
  <si>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</si>
  <si>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</si>
  <si>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</si>
  <si>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</si>
  <si>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</si>
  <si>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</si>
  <si>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</si>
  <si>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</si>
  <si>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</si>
  <si>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</si>
  <si>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</si>
  <si>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</si>
  <si>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</si>
  <si>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</si>
  <si>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</si>
  <si>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</si>
  <si>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</si>
  <si>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</si>
  <si>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</si>
  <si>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</si>
  <si>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</si>
  <si>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</si>
  <si>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</si>
  <si>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</si>
  <si>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</si>
  <si>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</si>
  <si>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</si>
  <si>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</si>
  <si>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</si>
  <si>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</si>
  <si>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</si>
  <si>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</si>
  <si>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</si>
  <si>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</si>
  <si>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</si>
  <si>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</si>
  <si>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</si>
  <si>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</si>
  <si>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</si>
  <si>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</si>
  <si>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</si>
  <si>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</si>
  <si>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</si>
  <si>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</si>
  <si>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</si>
  <si>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</si>
  <si>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</si>
  <si>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</si>
  <si>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</si>
  <si>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</si>
  <si>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</si>
  <si>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</si>
  <si>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</si>
  <si>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</si>
  <si>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</si>
  <si>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</si>
  <si>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</si>
  <si>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</si>
  <si>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</si>
  <si>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</si>
  <si>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</si>
  <si>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</si>
  <si>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</si>
  <si>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</si>
  <si>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</si>
  <si>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</si>
  <si>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</si>
  <si>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</si>
  <si>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</si>
  <si>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</si>
  <si>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</si>
  <si>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</si>
  <si>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</si>
  <si>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</si>
  <si>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</si>
  <si>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</si>
  <si>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</si>
  <si>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</si>
  <si>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</si>
  <si>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</si>
  <si>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</si>
  <si>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</si>
  <si>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</si>
  <si>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</si>
  <si>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</si>
  <si>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</si>
  <si>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</si>
  <si>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</si>
  <si>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</si>
  <si>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</si>
  <si>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</si>
  <si>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</si>
  <si>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</si>
  <si>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</si>
  <si>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</si>
  <si>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</si>
  <si>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</si>
  <si>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</si>
  <si>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</si>
  <si>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</si>
  <si>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</si>
  <si>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</si>
  <si>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</si>
  <si>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</si>
  <si>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</si>
  <si>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</si>
  <si>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</si>
  <si>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</si>
  <si>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</si>
  <si>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</si>
  <si>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</si>
  <si>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</si>
  <si>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</si>
  <si>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</si>
  <si>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</si>
  <si>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</si>
  <si>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</si>
  <si>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</si>
  <si>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</si>
  <si>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</si>
  <si>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</si>
  <si>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</si>
  <si>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</si>
  <si>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</si>
  <si>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</si>
  <si>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</si>
  <si>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</si>
  <si>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</si>
  <si>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</si>
  <si>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</si>
  <si>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</si>
  <si>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</si>
  <si>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</si>
  <si>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</si>
  <si>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</si>
  <si>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</si>
  <si>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</si>
  <si>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</si>
  <si>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</si>
  <si>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</si>
  <si>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</si>
  <si>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</si>
  <si>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</si>
  <si>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</si>
  <si>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</si>
  <si>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</si>
  <si>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</si>
  <si>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</si>
  <si>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</si>
  <si>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</si>
  <si>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</si>
  <si>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</si>
  <si>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</si>
  <si>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</si>
  <si>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</si>
  <si>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</si>
  <si>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</si>
  <si>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</si>
  <si>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</si>
  <si>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</si>
  <si>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</si>
  <si>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</si>
  <si>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</si>
  <si>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</si>
  <si>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</si>
  <si>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</si>
  <si>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</si>
  <si>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</si>
  <si>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</si>
  <si>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</si>
  <si>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</si>
  <si>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</si>
  <si>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</si>
  <si>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</si>
  <si>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</si>
  <si>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</si>
  <si>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</si>
  <si>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</si>
  <si>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</si>
  <si>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</si>
  <si>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</si>
  <si>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</si>
  <si>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</si>
  <si>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</si>
  <si>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</si>
  <si>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</si>
  <si>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</si>
  <si>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</si>
  <si>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</si>
  <si>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</si>
  <si>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</si>
  <si>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</si>
  <si>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</si>
  <si>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</si>
  <si>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</si>
  <si>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</si>
  <si>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</si>
  <si>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</si>
  <si>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</si>
  <si>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</si>
  <si>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</si>
  <si>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</si>
  <si>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</si>
  <si>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</si>
  <si>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</si>
  <si>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</si>
  <si>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</si>
  <si>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</si>
  <si>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</si>
  <si>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</si>
  <si>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</si>
  <si>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</si>
  <si>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</si>
  <si>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</si>
  <si>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</si>
  <si>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</si>
  <si>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</si>
  <si>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</si>
  <si>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</si>
  <si>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</si>
  <si>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</si>
  <si>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</si>
  <si>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</si>
  <si>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</si>
  <si>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</si>
  <si>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</si>
  <si>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</si>
  <si>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</si>
  <si>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</si>
  <si>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</si>
  <si>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</si>
  <si>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</si>
  <si>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</si>
  <si>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</si>
  <si>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</si>
  <si>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</si>
  <si>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</si>
  <si>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</si>
  <si>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</si>
  <si>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</si>
  <si>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</si>
  <si>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</si>
  <si>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</si>
  <si>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</si>
  <si>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</si>
  <si>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</si>
  <si>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</si>
  <si>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</si>
  <si>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</si>
  <si>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</si>
  <si>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</si>
  <si>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</si>
  <si>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</si>
  <si>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</si>
  <si>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</si>
  <si>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</si>
  <si>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</si>
  <si>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</si>
  <si>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</si>
  <si>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</si>
  <si>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</si>
  <si>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</si>
  <si>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</si>
  <si>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</si>
  <si>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</si>
  <si>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</si>
  <si>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</si>
  <si>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</si>
  <si>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</si>
  <si>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</si>
  <si>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</si>
  <si>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</si>
  <si>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</si>
  <si>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</si>
  <si>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</si>
  <si>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</si>
  <si>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</si>
  <si>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</si>
  <si>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</si>
  <si>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</si>
  <si>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</si>
  <si>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</si>
  <si>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</si>
  <si>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</si>
  <si>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</si>
  <si>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</si>
  <si>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</si>
  <si>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</si>
  <si>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</si>
  <si>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</si>
  <si>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</si>
  <si>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</si>
  <si>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</si>
  <si>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</si>
  <si>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</si>
  <si>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</si>
  <si>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</si>
  <si>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</si>
  <si>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</si>
  <si>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</si>
  <si>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</si>
  <si>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</si>
  <si>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</si>
  <si>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</si>
  <si>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</si>
  <si>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</si>
  <si>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</si>
  <si>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</si>
  <si>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</si>
  <si>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</si>
  <si>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</si>
  <si>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</si>
  <si>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</si>
  <si>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</si>
  <si>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</si>
  <si>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</si>
  <si>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</si>
  <si>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</si>
  <si>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</si>
  <si>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</si>
  <si>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</si>
  <si>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</si>
  <si>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</si>
  <si>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</si>
  <si>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</si>
  <si>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</si>
  <si>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</si>
  <si>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</si>
  <si>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</si>
  <si>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</si>
  <si>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</si>
  <si>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</si>
  <si>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</si>
  <si>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</si>
  <si>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</si>
  <si>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</si>
  <si>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</si>
  <si>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</si>
  <si>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</si>
  <si>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</si>
  <si>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</si>
  <si>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</si>
  <si>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</si>
  <si>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</si>
  <si>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</si>
  <si>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</si>
  <si>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</si>
  <si>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</si>
  <si>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</si>
  <si>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</si>
  <si>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</si>
  <si>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</si>
  <si>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</si>
  <si>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</si>
  <si>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</si>
  <si>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</si>
  <si>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</si>
  <si>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</si>
  <si>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</si>
  <si>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</si>
  <si>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</si>
  <si>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</si>
  <si>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</si>
  <si>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</si>
  <si>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</si>
  <si>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</si>
  <si>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</si>
  <si>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</si>
  <si>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</si>
  <si>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</si>
  <si>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</si>
  <si>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</si>
  <si>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</si>
  <si>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</si>
  <si>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</si>
  <si>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</si>
  <si>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</si>
  <si>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</si>
  <si>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</si>
  <si>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</si>
  <si>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</si>
  <si>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</si>
  <si>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</si>
  <si>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</si>
  <si>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</si>
  <si>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</si>
  <si>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</si>
  <si>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</si>
  <si>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</si>
  <si>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</si>
  <si>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</si>
  <si>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</si>
  <si>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</si>
  <si>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</si>
  <si>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</si>
  <si>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</si>
  <si>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</si>
  <si>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</si>
  <si>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</si>
  <si>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</si>
  <si>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</si>
  <si>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</si>
  <si>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</si>
  <si>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</si>
  <si>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</si>
  <si>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</si>
  <si>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</si>
  <si>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</si>
  <si>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</si>
  <si>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</si>
  <si>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</si>
  <si>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</si>
  <si>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</si>
  <si>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</si>
  <si>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</si>
  <si>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</si>
  <si>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</si>
  <si>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</si>
  <si>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</si>
  <si>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</si>
  <si>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</si>
  <si>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</si>
  <si>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</si>
  <si>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</si>
  <si>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</si>
  <si>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</si>
  <si>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</si>
  <si>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</si>
  <si>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</si>
  <si>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</si>
  <si>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</si>
  <si>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</si>
  <si>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</si>
  <si>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</si>
  <si>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</si>
  <si>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</si>
  <si>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</si>
  <si>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</si>
  <si>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</si>
  <si>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</si>
  <si>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</si>
  <si>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</si>
  <si>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</si>
  <si>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</si>
  <si>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</si>
  <si>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</si>
  <si>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</si>
  <si>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</si>
  <si>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</si>
  <si>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</si>
  <si>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</si>
  <si>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</si>
  <si>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</si>
  <si>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</si>
  <si>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</si>
  <si>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</si>
  <si>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</si>
  <si>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</si>
  <si>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</si>
  <si>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</si>
  <si>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</si>
  <si>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</si>
  <si>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</si>
  <si>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</si>
  <si>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</si>
  <si>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</si>
  <si>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</si>
  <si>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</si>
  <si>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</si>
  <si>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</si>
  <si>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</si>
  <si>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</si>
  <si>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</si>
  <si>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</si>
  <si>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</si>
  <si>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</si>
  <si>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</si>
  <si>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</si>
  <si>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</si>
  <si>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</si>
  <si>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</si>
  <si>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</si>
  <si>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</si>
  <si>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</si>
  <si>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</si>
  <si>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</si>
  <si>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</si>
  <si>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</si>
  <si>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</si>
  <si>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</si>
  <si>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</si>
  <si>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</si>
  <si>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</si>
  <si>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</si>
  <si>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</si>
  <si>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</si>
  <si>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</si>
  <si>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</si>
  <si>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</si>
  <si>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</si>
  <si>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</si>
  <si>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</si>
  <si>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</si>
  <si>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</si>
  <si>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</si>
  <si>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</si>
  <si>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</si>
  <si>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</si>
  <si>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</si>
  <si>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</si>
  <si>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</si>
  <si>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</si>
  <si>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</si>
  <si>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</si>
  <si>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</si>
  <si>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</si>
  <si>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</si>
  <si>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</si>
  <si>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</si>
  <si>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</si>
  <si>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</si>
  <si>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</si>
  <si>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</si>
  <si>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</si>
  <si>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</si>
  <si>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</si>
  <si>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</si>
  <si>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</si>
  <si>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</si>
  <si>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</si>
  <si>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</si>
  <si>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</si>
  <si>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</si>
  <si>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</si>
  <si>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</si>
  <si>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</si>
  <si>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</si>
  <si>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</si>
  <si>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</si>
  <si>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</si>
  <si>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</si>
  <si>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</si>
  <si>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</si>
  <si>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</si>
  <si>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</si>
  <si>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</si>
  <si>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</si>
  <si>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</si>
  <si>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</si>
  <si>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</si>
  <si>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</si>
  <si>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</si>
  <si>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</si>
  <si>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</si>
  <si>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</si>
  <si>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</si>
  <si>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</si>
  <si>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</si>
  <si>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</si>
  <si>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</si>
  <si>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</si>
  <si>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</si>
  <si>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</si>
  <si>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</si>
  <si>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</si>
  <si>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</si>
  <si>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</si>
  <si>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</si>
  <si>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</si>
  <si>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</si>
  <si>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</si>
  <si>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</si>
  <si>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</si>
  <si>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</si>
  <si>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</si>
  <si>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</si>
  <si>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</si>
  <si>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</si>
  <si>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</si>
  <si>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</si>
  <si>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</si>
  <si>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</si>
  <si>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</si>
  <si>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</si>
  <si>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</si>
  <si>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</si>
  <si>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</si>
  <si>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</si>
  <si>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</si>
  <si>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</si>
  <si>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</si>
  <si>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</si>
  <si>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</si>
  <si>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</si>
  <si>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</si>
  <si>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</si>
  <si>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</si>
  <si>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</si>
  <si>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</si>
  <si>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</si>
  <si>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</si>
  <si>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</si>
  <si>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</si>
  <si>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</si>
  <si>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</si>
  <si>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</si>
  <si>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</si>
  <si>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</si>
  <si>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</si>
  <si>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</si>
  <si>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</si>
  <si>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</si>
  <si>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</si>
  <si>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</si>
  <si>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</si>
  <si>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</si>
  <si>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</si>
  <si>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</si>
  <si>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</si>
  <si>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</si>
  <si>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</si>
  <si>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</si>
  <si>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</si>
  <si>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</si>
  <si>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</si>
  <si>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</si>
  <si>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</si>
  <si>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</si>
  <si>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</si>
  <si>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</si>
  <si>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</si>
  <si>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</si>
  <si>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</si>
  <si>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</si>
  <si>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</si>
  <si>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</si>
  <si>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</si>
  <si>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</si>
  <si>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</si>
  <si>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</si>
  <si>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</si>
  <si>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</si>
  <si>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</si>
  <si>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</si>
  <si>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</si>
  <si>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</si>
  <si>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</si>
  <si>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</si>
  <si>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</si>
  <si>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</si>
  <si>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</si>
  <si>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</si>
  <si>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</si>
  <si>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</si>
  <si>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</si>
  <si>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</si>
  <si>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</si>
  <si>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</si>
  <si>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</si>
  <si>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</si>
  <si>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</si>
  <si>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</si>
  <si>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</si>
  <si>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</si>
  <si>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</si>
  <si>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</si>
  <si>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</si>
  <si>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</si>
  <si>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</si>
  <si>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</si>
  <si>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</si>
  <si>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</si>
  <si>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</si>
  <si>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</si>
  <si>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</si>
  <si>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</si>
  <si>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</si>
  <si>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</si>
  <si>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</si>
  <si>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</si>
  <si>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</si>
  <si>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</si>
  <si>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</si>
  <si>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</si>
  <si>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</si>
  <si>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</si>
  <si>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</si>
  <si>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</si>
  <si>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</si>
  <si>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</si>
  <si>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</si>
  <si>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</si>
  <si>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</si>
  <si>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</si>
  <si>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</si>
  <si>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</si>
  <si>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</si>
  <si>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</si>
  <si>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</si>
  <si>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</si>
  <si>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</si>
  <si>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</si>
  <si>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</si>
  <si>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</si>
  <si>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</si>
  <si>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</si>
  <si>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</si>
  <si>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</si>
  <si>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</si>
  <si>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</si>
  <si>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</si>
  <si>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</si>
  <si>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</si>
  <si>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</si>
  <si>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</si>
  <si>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</si>
  <si>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</si>
  <si>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</si>
  <si>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</si>
  <si>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</si>
  <si>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</si>
  <si>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</si>
  <si>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</si>
  <si>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</si>
  <si>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</si>
  <si>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</si>
  <si>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</si>
  <si>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</si>
  <si>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</si>
  <si>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</si>
  <si>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</si>
  <si>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</si>
  <si>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</si>
  <si>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</si>
  <si>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</si>
  <si>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</si>
  <si>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</si>
  <si>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</si>
  <si>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</si>
  <si>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</si>
  <si>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</si>
  <si>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</si>
  <si>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</si>
  <si>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</si>
  <si>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</si>
  <si>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</si>
  <si>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</si>
  <si>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</si>
  <si>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</si>
  <si>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</si>
  <si>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</si>
  <si>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</si>
  <si>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</si>
  <si>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</si>
  <si>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</si>
  <si>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</si>
  <si>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</si>
  <si>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</si>
  <si>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</si>
  <si>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</si>
  <si>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</si>
  <si>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</si>
  <si>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</si>
  <si>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</si>
  <si>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</si>
  <si>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</si>
  <si>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</si>
  <si>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</si>
  <si>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</si>
  <si>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</si>
  <si>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</si>
  <si>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</si>
  <si>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</si>
  <si>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</si>
  <si>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</si>
  <si>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</si>
  <si>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</si>
  <si>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</si>
  <si>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</si>
  <si>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</si>
  <si>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</si>
  <si>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</si>
  <si>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</si>
  <si>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</si>
  <si>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</si>
  <si>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</si>
  <si>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</si>
  <si>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</si>
  <si>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</si>
  <si>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</si>
  <si>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</si>
  <si>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</si>
  <si>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</si>
  <si>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</si>
  <si>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</si>
  <si>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</si>
  <si>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</si>
  <si>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</si>
  <si>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</si>
  <si>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</si>
  <si>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</si>
  <si>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</si>
  <si>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</si>
  <si>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</si>
  <si>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</si>
  <si>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</si>
  <si>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</si>
  <si>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</si>
  <si>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</si>
  <si>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</si>
  <si>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</si>
  <si>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</si>
  <si>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</si>
  <si>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</si>
  <si>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</si>
  <si>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</si>
  <si>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</si>
  <si>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</si>
  <si>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</si>
  <si>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</si>
  <si>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</si>
  <si>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</si>
  <si>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</si>
  <si>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</si>
  <si>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</si>
  <si>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</si>
  <si>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</si>
  <si>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</si>
  <si>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</si>
  <si>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</si>
  <si>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</si>
  <si>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</si>
  <si>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</si>
  <si>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</si>
  <si>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</si>
  <si>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</si>
  <si>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</si>
  <si>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</si>
  <si>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</si>
  <si>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</si>
  <si>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</si>
  <si>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</si>
  <si>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</si>
  <si>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</si>
  <si>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</si>
  <si>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</si>
  <si>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</si>
  <si>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</si>
  <si>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</si>
  <si>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</si>
  <si>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</si>
  <si>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</si>
  <si>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</si>
  <si>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</si>
  <si>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</si>
  <si>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</si>
  <si>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</si>
  <si>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</si>
  <si>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</si>
  <si>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</si>
  <si>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</si>
  <si>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</si>
  <si>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</si>
  <si>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</si>
  <si>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</si>
  <si>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</si>
  <si>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</si>
  <si>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</si>
  <si>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</si>
  <si>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</si>
  <si>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</si>
  <si>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</si>
  <si>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</si>
  <si>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</si>
  <si>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</si>
  <si>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</si>
  <si>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</si>
  <si>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</si>
  <si>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</si>
  <si>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</si>
  <si>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</si>
  <si>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</si>
  <si>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</si>
  <si>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</si>
  <si>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</si>
  <si>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</si>
  <si>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</si>
  <si>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</si>
  <si>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</si>
  <si>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</si>
  <si>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</si>
  <si>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</si>
  <si>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</si>
  <si>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</si>
  <si>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</si>
  <si>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</si>
  <si>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</si>
  <si>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</si>
  <si>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</si>
  <si>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</si>
  <si>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</si>
  <si>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</si>
  <si>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</si>
  <si>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</si>
  <si>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</si>
  <si>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</si>
  <si>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</si>
  <si>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</si>
  <si>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</si>
  <si>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</si>
  <si>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</si>
  <si>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</si>
  <si>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</si>
  <si>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</si>
  <si>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</si>
  <si>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</si>
  <si>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</si>
  <si>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</si>
  <si>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</si>
  <si>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</si>
  <si>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</si>
  <si>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</si>
  <si>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</si>
  <si>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</si>
  <si>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</si>
  <si>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</si>
  <si>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</si>
  <si>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</si>
  <si>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</si>
  <si>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</si>
  <si>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</si>
  <si>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</si>
  <si>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</si>
  <si>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</si>
  <si>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</si>
  <si>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</si>
  <si>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</si>
  <si>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</si>
  <si>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</si>
  <si>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</si>
  <si>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</si>
  <si>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</si>
  <si>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</si>
  <si>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</si>
  <si>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</si>
  <si>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</si>
  <si>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</si>
  <si>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</si>
  <si>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</si>
  <si>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</si>
  <si>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</si>
  <si>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</si>
  <si>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</si>
  <si>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</si>
  <si>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</si>
  <si>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</si>
  <si>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</si>
  <si>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</si>
  <si>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</si>
  <si>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</si>
  <si>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</si>
  <si>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</si>
  <si>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</si>
  <si>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</si>
  <si>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</si>
  <si>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</si>
  <si>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</si>
  <si>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</si>
  <si>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</si>
  <si>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</si>
  <si>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</si>
  <si>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</si>
  <si>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</si>
  <si>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</si>
  <si>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</si>
  <si>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</si>
  <si>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</si>
  <si>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</si>
  <si>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</si>
  <si>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</si>
  <si>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</si>
  <si>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</si>
  <si>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</si>
  <si>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</si>
  <si>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</si>
  <si>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</si>
  <si>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</si>
  <si>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</si>
  <si>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</si>
  <si>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</si>
  <si>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</si>
  <si>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</si>
  <si>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</si>
  <si>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</si>
  <si>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</si>
  <si>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</si>
  <si>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</si>
  <si>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</si>
  <si>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</si>
  <si>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</si>
  <si>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</si>
  <si>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</si>
  <si>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</si>
  <si>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</si>
  <si>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</si>
  <si>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</si>
  <si>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</si>
  <si>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</si>
  <si>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</si>
  <si>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</si>
  <si>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</si>
  <si>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</si>
  <si>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</si>
  <si>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</si>
  <si>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</si>
  <si>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</si>
  <si>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</si>
  <si>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</si>
  <si>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</si>
  <si>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</si>
  <si>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</si>
  <si>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</si>
  <si>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精装修</t>
  </si>
  <si>
    <t>楼面单价</t>
  </si>
  <si>
    <t>收益比率</t>
  </si>
  <si>
    <t>=2015+2</t>
    <phoneticPr fontId="6" type="noConversion"/>
  </si>
  <si>
    <t>朝阳区朝阳门外大街18号</t>
  </si>
  <si>
    <t>企业</t>
  </si>
  <si>
    <t>北京丰联广场大厦有限公司</t>
  </si>
  <si>
    <t>华夏银行</t>
  </si>
  <si>
    <t>郑燚</t>
  </si>
  <si>
    <t>吴薇</t>
  </si>
  <si>
    <t>原件</t>
  </si>
  <si>
    <t>512-516</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</si>
  <si>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</si>
  <si>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</si>
  <si>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</si>
  <si>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</si>
  <si>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</si>
  <si>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</si>
  <si>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</si>
  <si>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</si>
  <si>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</si>
  <si>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</si>
  <si>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低</t>
  </si>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</sst>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2" fillId="0" borderId="1" xfId="10"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0" fontId="271" fillId="2" borderId="1" xfId="1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北京市朝阳区朝阳门外大街18号房地产抵押价值预评估</v>
      </c>
    </row>
    <row r="3" spans="1:2" s="1201" customFormat="1">
      <c r="A3" s="1199" t="s">
        <v>523</v>
      </c>
      <c r="B3" s="1200" t="str">
        <f>'预评函-封皮'!B40</f>
        <v>华夏银行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受贵公司委托，我公司对北京市朝阳区朝阳门外大街18号房地产抵押价值进行了预评估。</v>
      </c>
    </row>
    <row r="7" spans="1:2" s="1201" customFormat="1">
      <c r="A7" s="1199" t="s">
        <v>566</v>
      </c>
      <c r="B7" s="1200" t="str">
        <f>'预评函-1'!A7</f>
        <v>估价对象为北京市朝阳区朝阳门外大街18号房地产，为北京丰联广场大厦有限公司所有。根据《国有土地使用证》[]，估价对象（分摊）出让国有建设用地使用权面积为147.42平方米，建筑面积为1286.47平方米。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18号房地产,属北京丰联广场大厦有限公司开发建设的办公项目，该项目尚在开发建设中。根据《国有土地使用证》[]，估价对象（分摊）出让国有建设用地使用权面积为147.42平方米，规划建筑面积为1286.47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2023年2月8日（评估专业人员实地查勘之日）</v>
      </c>
    </row>
    <row r="13" spans="1:2" s="1201" customFormat="1">
      <c r="A13" s="1199" t="s">
        <v>529</v>
      </c>
      <c r="B13" s="1200"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4249</v>
      </c>
    </row>
    <row r="21" spans="1:2" s="1201" customFormat="1">
      <c r="A21" s="1199" t="s">
        <v>537</v>
      </c>
      <c r="B21" s="1200">
        <f ca="1">'预评函-2'!D7</f>
        <v>33032</v>
      </c>
    </row>
    <row r="22" spans="1:2" s="1201" customFormat="1">
      <c r="A22" s="1199" t="s">
        <v>538</v>
      </c>
      <c r="B22" s="1200" t="str">
        <f ca="1">'预评函-2'!D6</f>
        <v>肆仟贰佰肆拾玖万元整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4249</v>
      </c>
    </row>
    <row r="31" spans="1:2" s="1201" customFormat="1">
      <c r="A31" s="1199" t="s">
        <v>576</v>
      </c>
      <c r="B31" s="1200">
        <f ca="1">'预评函-2'!D15</f>
        <v>33032</v>
      </c>
    </row>
    <row r="32" spans="1:2" s="1201" customFormat="1">
      <c r="A32" s="1199" t="s">
        <v>543</v>
      </c>
      <c r="B32" s="1200" t="str">
        <f ca="1">'预评函-2'!D14</f>
        <v>肆仟贰佰肆拾玖万元整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北京市朝阳区朝阳门外大街18号房地产</v>
      </c>
    </row>
    <row r="42" spans="1:2" s="1201" customFormat="1">
      <c r="A42" s="1199" t="s">
        <v>590</v>
      </c>
      <c r="B42" s="1200" t="str">
        <f>'预评函-3'!B2</f>
        <v>建筑面积</v>
      </c>
    </row>
    <row r="43" spans="1:2" s="1201" customFormat="1">
      <c r="A43" s="1199" t="s">
        <v>591</v>
      </c>
      <c r="B43" s="1200">
        <f>'预评函-3'!B4</f>
        <v>1286.47</v>
      </c>
    </row>
    <row r="44" spans="1:2" s="1201" customFormat="1">
      <c r="A44" s="1199" t="s">
        <v>575</v>
      </c>
      <c r="B44" s="1200" t="str">
        <f>'预评函-3'!C2</f>
        <v>(分摊)土地面积</v>
      </c>
    </row>
    <row r="45" spans="1:2" s="1201" customFormat="1">
      <c r="A45" s="1199" t="s">
        <v>547</v>
      </c>
      <c r="B45" s="1200">
        <f>'预评函-3'!C4</f>
        <v>147.41999999999999</v>
      </c>
    </row>
    <row r="46" spans="1:2" s="1201" customFormat="1">
      <c r="A46" s="1199" t="s">
        <v>573</v>
      </c>
      <c r="B46" s="1200" t="str">
        <f>'预评函-3'!D2</f>
        <v>出让国有建设用地使用权价值</v>
      </c>
    </row>
    <row r="47" spans="1:2" s="1201" customFormat="1">
      <c r="A47" s="1199" t="s">
        <v>548</v>
      </c>
      <c r="B47" s="1200">
        <f ca="1">'预评函-3'!D4</f>
        <v>3565</v>
      </c>
    </row>
    <row r="48" spans="1:2" s="1201" customFormat="1">
      <c r="A48" s="1199" t="s">
        <v>549</v>
      </c>
      <c r="B48" s="1200">
        <f ca="1">'预评函-3'!E4</f>
        <v>27714</v>
      </c>
    </row>
    <row r="49" spans="1:2" s="1201" customFormat="1">
      <c r="A49" s="1199" t="s">
        <v>550</v>
      </c>
      <c r="B49" s="1200" t="str">
        <f ca="1">'预评函-3'!D5</f>
        <v>叁仟伍佰陆拾伍万元整</v>
      </c>
    </row>
    <row r="50" spans="1:2" s="1201" customFormat="1">
      <c r="A50" s="1199" t="s">
        <v>574</v>
      </c>
      <c r="B50" s="1200" t="str">
        <f>'预评函-3'!F2</f>
        <v>在建建筑物价值</v>
      </c>
    </row>
    <row r="51" spans="1:2" s="1201" customFormat="1">
      <c r="A51" s="1199" t="s">
        <v>551</v>
      </c>
      <c r="B51" s="1200">
        <f ca="1">'预评函-3'!F4</f>
        <v>684</v>
      </c>
    </row>
    <row r="52" spans="1:2" s="1201" customFormat="1">
      <c r="A52" s="1199" t="s">
        <v>552</v>
      </c>
      <c r="B52" s="1200">
        <f ca="1">'预评函-3'!G4</f>
        <v>5318</v>
      </c>
    </row>
    <row r="53" spans="1:2" s="1201" customFormat="1">
      <c r="A53" s="1199" t="s">
        <v>580</v>
      </c>
      <c r="B53" s="1200" t="str">
        <f ca="1">'预评函-3'!F5</f>
        <v>陆佰捌拾肆万元整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2" t="s">
        <v>385</v>
      </c>
      <c r="C54" s="1549" t="s">
        <v>583</v>
      </c>
    </row>
    <row r="55" spans="1:4">
      <c r="A55" s="3513"/>
      <c r="B55" s="1552" t="s">
        <v>386</v>
      </c>
      <c r="C55" s="1549" t="s">
        <v>584</v>
      </c>
    </row>
    <row r="56" spans="1:4">
      <c r="A56" s="3513"/>
      <c r="B56" s="1552" t="s">
        <v>387</v>
      </c>
      <c r="C56" s="1549" t="s">
        <v>588</v>
      </c>
    </row>
    <row r="57" spans="1:4">
      <c r="A57" s="351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3" t="s">
        <v>2588</v>
      </c>
      <c r="J1" s="3221"/>
      <c r="K1" s="3221"/>
      <c r="L1" s="3221"/>
      <c r="M1" s="3221"/>
      <c r="N1" s="3434"/>
      <c r="O1" s="3434"/>
      <c r="P1" s="3434"/>
      <c r="Q1" s="3434"/>
      <c r="R1" s="3434"/>
    </row>
    <row r="2" spans="1:18">
      <c r="A2" s="3011"/>
      <c r="B2" s="3012"/>
      <c r="C2" s="3012"/>
      <c r="D2" s="3012"/>
      <c r="E2" s="3012"/>
      <c r="F2" s="3013"/>
      <c r="I2" s="3514" t="s">
        <v>2575</v>
      </c>
      <c r="J2" s="3514"/>
      <c r="K2" s="3514"/>
      <c r="L2" s="3514"/>
      <c r="M2" s="3514"/>
      <c r="N2" s="3514"/>
      <c r="O2" s="3514"/>
      <c r="P2" s="3514"/>
      <c r="Q2" s="3514"/>
      <c r="R2" s="3514"/>
    </row>
    <row r="3" spans="1:18">
      <c r="A3" s="3014" t="s">
        <v>2496</v>
      </c>
      <c r="B3" s="3015">
        <f>项目基本情况!D3</f>
        <v>44965</v>
      </c>
      <c r="C3" s="3017"/>
      <c r="D3" s="3017"/>
      <c r="E3" s="3017"/>
      <c r="F3" s="3013"/>
      <c r="I3" s="3435"/>
      <c r="J3" s="3435" t="s">
        <v>2579</v>
      </c>
      <c r="K3" s="3435" t="s">
        <v>2580</v>
      </c>
      <c r="L3" s="3435" t="s">
        <v>2581</v>
      </c>
      <c r="M3" s="3435" t="s">
        <v>2582</v>
      </c>
      <c r="N3" s="3436" t="s">
        <v>2583</v>
      </c>
      <c r="O3" s="3436" t="s">
        <v>2584</v>
      </c>
      <c r="P3" s="3436" t="s">
        <v>2585</v>
      </c>
      <c r="Q3" s="3436" t="s">
        <v>2586</v>
      </c>
      <c r="R3" s="3436" t="s">
        <v>2587</v>
      </c>
    </row>
    <row r="4" spans="1:18">
      <c r="A4" s="3014" t="s">
        <v>2497</v>
      </c>
      <c r="B4" s="3017" t="s">
        <v>2498</v>
      </c>
      <c r="C4" s="3017" t="s">
        <v>2499</v>
      </c>
      <c r="D4" s="3017" t="s">
        <v>2500</v>
      </c>
      <c r="E4" s="3017" t="s">
        <v>2501</v>
      </c>
      <c r="F4" s="3013"/>
      <c r="I4" s="3435" t="s">
        <v>2576</v>
      </c>
      <c r="J4" s="3435">
        <v>80</v>
      </c>
      <c r="K4" s="3435">
        <v>70</v>
      </c>
      <c r="L4" s="3435">
        <v>20</v>
      </c>
      <c r="M4" s="3435">
        <v>30</v>
      </c>
      <c r="N4" s="3017">
        <v>45</v>
      </c>
      <c r="O4" s="3017">
        <v>60</v>
      </c>
      <c r="P4" s="3017">
        <v>50</v>
      </c>
      <c r="Q4" s="3017">
        <v>20</v>
      </c>
      <c r="R4" s="3017">
        <v>375</v>
      </c>
    </row>
    <row r="5" spans="1:18">
      <c r="A5" s="3018">
        <v>40</v>
      </c>
      <c r="B5" s="3015">
        <v>46375</v>
      </c>
      <c r="C5" s="3017">
        <f>ROUNDDOWN(MIN((B5-B3)/365,A5),2)</f>
        <v>3.86</v>
      </c>
      <c r="D5" s="3019">
        <f>IF(ISERROR(ROUND(POWER(1+E5,A5-C5)*(POWER(1+E5,C5)-1)/(POWER(1+E5,A5)-1),3)),0,ROUND(POWER(1+E5,A5-C5)*(POWER(1+E5,C5)-1)/(POWER(1+E5,A5)-1),4))</f>
        <v>0.17749999999999999</v>
      </c>
      <c r="E5" s="3020">
        <v>0.04</v>
      </c>
      <c r="F5" s="3013"/>
      <c r="I5" s="3435" t="s">
        <v>2577</v>
      </c>
      <c r="J5" s="3435">
        <v>70</v>
      </c>
      <c r="K5" s="3435">
        <v>60</v>
      </c>
      <c r="L5" s="3435">
        <v>15</v>
      </c>
      <c r="M5" s="3435">
        <v>25</v>
      </c>
      <c r="N5" s="3017">
        <v>40</v>
      </c>
      <c r="O5" s="3017">
        <v>50</v>
      </c>
      <c r="P5" s="3017">
        <v>40</v>
      </c>
      <c r="Q5" s="3017">
        <v>15</v>
      </c>
      <c r="R5" s="3017">
        <v>315</v>
      </c>
    </row>
    <row r="6" spans="1:18">
      <c r="A6" s="3018">
        <v>50</v>
      </c>
      <c r="B6" s="3015">
        <v>50028</v>
      </c>
      <c r="C6" s="3017">
        <f>ROUNDDOWN(MIN((B6-B3)/365,A6),2)</f>
        <v>13.87</v>
      </c>
      <c r="D6" s="3019">
        <f>IF(ISERROR(ROUND(POWER(1+E6,A6-C6)*(POWER(1+E6,C6)-1)/(POWER(1+E6,A6)-1),3)),0,ROUND(POWER(1+E6,A6-C6)*(POWER(1+E6,C6)-1)/(POWER(1+E6,A6)-1),4))</f>
        <v>0.48830000000000001</v>
      </c>
      <c r="E6" s="3020">
        <v>0.04</v>
      </c>
      <c r="F6" s="3013"/>
      <c r="I6" s="3435" t="s">
        <v>2578</v>
      </c>
      <c r="J6" s="3435">
        <v>60</v>
      </c>
      <c r="K6" s="3435">
        <v>50</v>
      </c>
      <c r="L6" s="3435">
        <v>10</v>
      </c>
      <c r="M6" s="3435">
        <v>20</v>
      </c>
      <c r="N6" s="3017">
        <v>35</v>
      </c>
      <c r="O6" s="3017">
        <v>40</v>
      </c>
      <c r="P6" s="3017">
        <v>30</v>
      </c>
      <c r="Q6" s="3017">
        <v>10</v>
      </c>
      <c r="R6" s="3017">
        <v>255</v>
      </c>
    </row>
    <row r="7" spans="1:18">
      <c r="A7" s="3018">
        <v>70</v>
      </c>
      <c r="B7" s="3015">
        <v>57333</v>
      </c>
      <c r="C7" s="3017">
        <f>ROUNDDOWN(MIN((B7-B3)/365,A7),2)</f>
        <v>33.880000000000003</v>
      </c>
      <c r="D7" s="3019">
        <f>IF(ISERROR(ROUND(POWER(1+E7,A7-C7)*(POWER(1+E7,C7)-1)/(POWER(1+E7,A7)-1),3)),0,ROUND(POWER(1+E7,A7-C7)*(POWER(1+E7,C7)-1)/(POWER(1+E7,A7)-1),4))</f>
        <v>0.78569999999999995</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E24" sqref="E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15" t="str">
        <f>IF(B10="北京市","北京市",C10)&amp;F10&amp;IF(结果表!G1="在建","出让国有建设用地使用权及在建建筑物",IF(结果表!G1="土地","出让国有建设用地使用权",))&amp;B9&amp;"预评估"</f>
        <v>北京市朝阳区朝阳门外大街18号房地产抵押价值预评估</v>
      </c>
      <c r="C1" s="3516"/>
      <c r="D1" s="3516"/>
      <c r="E1" s="3516"/>
      <c r="F1" s="3516"/>
      <c r="G1" s="3516"/>
      <c r="H1" s="3516"/>
      <c r="I1" s="3517"/>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北京市朝阳区朝阳门外大街18号房地产抵押价值</v>
      </c>
      <c r="T1" s="1743"/>
      <c r="U1" s="1743"/>
      <c r="V1" s="1743"/>
      <c r="W1" s="1743"/>
      <c r="X1" s="1743"/>
      <c r="Y1" s="1743"/>
      <c r="Z1" s="1743"/>
      <c r="AA1" s="1743"/>
      <c r="AB1" s="1743"/>
    </row>
    <row r="2" spans="1:30">
      <c r="A2" s="2365" t="s">
        <v>2165</v>
      </c>
      <c r="B2" s="2369"/>
      <c r="C2" s="2370"/>
      <c r="D2" s="2664"/>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北京市朝阳区朝阳门外大街18号房地产</v>
      </c>
      <c r="T2" s="1743"/>
      <c r="U2" s="1743"/>
      <c r="V2" s="1743"/>
      <c r="W2" s="1743"/>
      <c r="X2" s="1743"/>
      <c r="Y2" s="1743"/>
      <c r="Z2" s="1743"/>
      <c r="AA2" s="1743"/>
      <c r="AB2" s="1743"/>
    </row>
    <row r="3" spans="1:30">
      <c r="A3" s="302" t="s">
        <v>2166</v>
      </c>
      <c r="B3" s="2371">
        <v>44965</v>
      </c>
      <c r="C3" s="2372" t="s">
        <v>2167</v>
      </c>
      <c r="D3" s="2371">
        <f>B3</f>
        <v>44965</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3444</v>
      </c>
      <c r="C4" s="2374">
        <f ca="1">SUMIF(注册房地产估价师,B4,估价师及机构信息!B3:B24)</f>
        <v>1120070131</v>
      </c>
      <c r="D4" s="2373" t="s">
        <v>3445</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4"/>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4" t="s">
        <v>3443</v>
      </c>
      <c r="C5" s="2378"/>
      <c r="D5" s="2379"/>
      <c r="E5" s="2659"/>
      <c r="F5" s="2659"/>
      <c r="G5" s="2659"/>
      <c r="H5" s="2659"/>
      <c r="I5" s="2659"/>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4" t="s">
        <v>3443</v>
      </c>
      <c r="C6" s="2382"/>
      <c r="D6" s="2383"/>
      <c r="E6" s="2657"/>
      <c r="F6" s="2659"/>
      <c r="G6" s="2659"/>
      <c r="H6" s="2659"/>
      <c r="I6" s="2659"/>
      <c r="J6" s="2434"/>
      <c r="K6" s="2610" t="str">
        <f>IF(COUNTIF(B6,"*上海银行*"),"上海银行","")</f>
        <v/>
      </c>
      <c r="L6" s="2608"/>
      <c r="M6" s="2608"/>
      <c r="N6" s="2434"/>
      <c r="O6" s="2445"/>
      <c r="P6" s="2434"/>
      <c r="Q6" s="2434"/>
      <c r="R6" s="2434"/>
    </row>
    <row r="7" spans="1:30">
      <c r="A7" s="2380" t="s">
        <v>2171</v>
      </c>
      <c r="B7" s="2381" t="s">
        <v>3442</v>
      </c>
      <c r="C7" s="2382"/>
      <c r="D7" s="2383"/>
      <c r="E7" s="2657"/>
      <c r="F7" s="2659"/>
      <c r="G7" s="2659"/>
      <c r="H7" s="2659"/>
      <c r="I7" s="2659"/>
      <c r="J7" s="2434"/>
      <c r="K7" s="2611"/>
      <c r="L7" s="2608"/>
      <c r="M7" s="2608"/>
      <c r="N7" s="2434"/>
      <c r="O7" s="2445"/>
      <c r="P7" s="2434"/>
      <c r="Q7" s="2434"/>
      <c r="R7" s="2434"/>
    </row>
    <row r="8" spans="1:30">
      <c r="A8" s="2384" t="s">
        <v>2172</v>
      </c>
      <c r="B8" s="2385" t="s">
        <v>3367</v>
      </c>
      <c r="C8" s="2386"/>
      <c r="D8" s="3518" t="s">
        <v>2173</v>
      </c>
      <c r="E8" s="2387" t="s">
        <v>3368</v>
      </c>
      <c r="F8" s="2388"/>
      <c r="G8" s="2658"/>
      <c r="H8" s="2658"/>
      <c r="I8" s="2658"/>
      <c r="J8" s="2434"/>
      <c r="K8" s="2609"/>
      <c r="L8" s="2608"/>
      <c r="M8" s="2608"/>
      <c r="N8" s="2434"/>
      <c r="O8" s="2445"/>
      <c r="P8" s="2434"/>
      <c r="Q8" s="2434"/>
      <c r="R8" s="2434"/>
    </row>
    <row r="9" spans="1:30" ht="13.5" thickBot="1">
      <c r="A9" s="2389" t="s">
        <v>2174</v>
      </c>
      <c r="B9" s="2390" t="s">
        <v>3368</v>
      </c>
      <c r="C9" s="2391"/>
      <c r="D9" s="3519"/>
      <c r="E9" s="2390" t="s">
        <v>43</v>
      </c>
      <c r="F9" s="2392"/>
      <c r="G9" s="2660"/>
      <c r="H9" s="2660"/>
      <c r="I9" s="2660"/>
      <c r="J9" s="2434"/>
      <c r="K9" s="2611"/>
      <c r="L9" s="2608"/>
      <c r="M9" s="2608"/>
      <c r="N9" s="2434"/>
      <c r="O9" s="2445"/>
      <c r="P9" s="2434"/>
      <c r="Q9" s="2434"/>
      <c r="R9" s="2434"/>
    </row>
    <row r="10" spans="1:30" ht="13.5" thickTop="1">
      <c r="A10" s="2393" t="s">
        <v>2175</v>
      </c>
      <c r="B10" s="2394" t="s">
        <v>3369</v>
      </c>
      <c r="C10" s="2395"/>
      <c r="D10" s="2379"/>
      <c r="E10" s="2396" t="s">
        <v>2176</v>
      </c>
      <c r="F10" s="3452" t="s">
        <v>3440</v>
      </c>
      <c r="G10" s="2661"/>
      <c r="H10" s="2662"/>
      <c r="I10" s="2663"/>
      <c r="J10" s="2434"/>
      <c r="K10" s="2611"/>
      <c r="L10" s="2608"/>
      <c r="M10" s="2608"/>
      <c r="N10" s="2434"/>
      <c r="O10" s="2445"/>
      <c r="P10" s="2434"/>
      <c r="Q10" s="2434"/>
      <c r="R10" s="2434"/>
    </row>
    <row r="11" spans="1:30">
      <c r="A11" s="2397" t="s">
        <v>2177</v>
      </c>
      <c r="B11" s="2398" t="s">
        <v>3441</v>
      </c>
      <c r="C11" s="3453" t="s">
        <v>3442</v>
      </c>
      <c r="D11" s="2399"/>
      <c r="E11" s="2368"/>
      <c r="F11" s="2368"/>
      <c r="G11" s="2368"/>
      <c r="H11" s="2368"/>
      <c r="I11" s="2368"/>
      <c r="J11" s="3055"/>
      <c r="K11" s="3054"/>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3" t="s">
        <v>2571</v>
      </c>
      <c r="J12" s="3056"/>
      <c r="K12" s="2608"/>
      <c r="L12" s="2608"/>
      <c r="M12" s="2434"/>
      <c r="N12" s="2445"/>
      <c r="O12" s="2434"/>
      <c r="P12" s="2434"/>
      <c r="Q12" s="2434"/>
      <c r="AD12" s="1743"/>
    </row>
    <row r="13" spans="1:30">
      <c r="A13" s="3419" t="s">
        <v>3333</v>
      </c>
      <c r="B13" s="2402" t="s">
        <v>2186</v>
      </c>
      <c r="C13" s="854"/>
      <c r="D13" s="854"/>
      <c r="E13" s="3451">
        <v>52629</v>
      </c>
      <c r="F13" s="854"/>
      <c r="G13" s="854"/>
      <c r="H13" s="854"/>
      <c r="I13" s="854"/>
      <c r="J13" s="3056"/>
      <c r="K13" s="2608" t="s">
        <v>3439</v>
      </c>
      <c r="L13" s="2608"/>
      <c r="M13" s="2434"/>
      <c r="N13" s="2445"/>
      <c r="O13" s="2434"/>
      <c r="P13" s="2434"/>
      <c r="Q13" s="2434"/>
      <c r="AD13" s="1743"/>
    </row>
    <row r="14" spans="1:30">
      <c r="A14" s="1079"/>
      <c r="B14" s="2402" t="s">
        <v>2187</v>
      </c>
      <c r="C14" s="2403"/>
      <c r="D14" s="2403"/>
      <c r="E14" s="2403">
        <v>50</v>
      </c>
      <c r="F14" s="2403"/>
      <c r="G14" s="2403"/>
      <c r="H14" s="2403"/>
      <c r="I14" s="2403"/>
      <c r="J14" s="3057"/>
      <c r="K14" s="2608"/>
      <c r="L14" s="2608"/>
      <c r="M14" s="2434"/>
      <c r="N14" s="2445"/>
      <c r="O14" s="2434"/>
      <c r="P14" s="2434"/>
      <c r="Q14" s="2434"/>
      <c r="AD14" s="1743"/>
    </row>
    <row r="15" spans="1:30">
      <c r="A15" s="320"/>
      <c r="B15" s="2404" t="s">
        <v>2188</v>
      </c>
      <c r="C15" s="2405" t="str">
        <f>IF(A13="出让",IF(C13="","",ROUNDDOWN(MIN((C13-$D$3)/365,C14),2)),C14)</f>
        <v/>
      </c>
      <c r="D15" s="2405" t="str">
        <f>IF(A13="出让",IF(D13="","",ROUNDDOWN(MIN((D13-$D$3)/365,D14),2)),D14)</f>
        <v/>
      </c>
      <c r="E15" s="2405">
        <f>IF(A13="出让",IF(E13="","",ROUNDDOWN(MIN((E13-$D$3)/365,E14),2)),E14)</f>
        <v>20.99</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3"/>
    </row>
    <row r="16" spans="1:30">
      <c r="A16" s="2396" t="s">
        <v>2189</v>
      </c>
      <c r="B16" s="3525"/>
      <c r="C16" s="3526"/>
      <c r="D16" s="3527"/>
      <c r="E16" s="2408" t="s">
        <v>2190</v>
      </c>
      <c r="F16" s="3528"/>
      <c r="G16" s="3529"/>
      <c r="H16" s="3529"/>
      <c r="I16" s="3530"/>
      <c r="J16" s="2434"/>
      <c r="K16" s="2612"/>
      <c r="L16" s="2446"/>
      <c r="M16" s="2446"/>
      <c r="N16" s="2504"/>
      <c r="O16" s="2446"/>
      <c r="P16" s="2504"/>
      <c r="Q16" s="2434"/>
      <c r="R16" s="2434"/>
    </row>
    <row r="17" spans="1:28">
      <c r="A17" s="313" t="s">
        <v>2191</v>
      </c>
      <c r="B17" s="302" t="s">
        <v>2192</v>
      </c>
      <c r="C17" s="8">
        <f>'数据-汇总表'!E3</f>
        <v>1286.47</v>
      </c>
      <c r="D17" s="2320" t="s">
        <v>2193</v>
      </c>
      <c r="E17" s="3531" t="s">
        <v>2194</v>
      </c>
      <c r="F17" s="3532"/>
      <c r="G17" s="3532"/>
      <c r="H17" s="3532"/>
      <c r="I17" s="3533"/>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147.41999999999999</v>
      </c>
      <c r="D18" s="1090" t="s">
        <v>2197</v>
      </c>
      <c r="E18" s="3534" t="s">
        <v>2198</v>
      </c>
      <c r="F18" s="3535"/>
      <c r="G18" s="3535"/>
      <c r="H18" s="3535"/>
      <c r="I18" s="3536"/>
      <c r="J18" s="2434"/>
      <c r="K18" s="2613"/>
      <c r="L18" s="2446"/>
      <c r="M18" s="2446"/>
      <c r="N18" s="2504"/>
      <c r="O18" s="2446"/>
      <c r="P18" s="2504"/>
      <c r="Q18" s="2434"/>
      <c r="R18" s="2434"/>
      <c r="S18" s="2434"/>
      <c r="T18" s="2434"/>
      <c r="U18" s="2434"/>
      <c r="V18" s="2434"/>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9"/>
      <c r="I19" s="2659"/>
      <c r="J19" s="2434"/>
      <c r="K19" s="2611"/>
      <c r="L19" s="2608"/>
      <c r="M19" s="2608"/>
      <c r="N19" s="2504"/>
      <c r="O19" s="2446"/>
      <c r="P19" s="2504"/>
      <c r="Q19" s="2434"/>
      <c r="R19" s="2434"/>
      <c r="S19" s="2434"/>
      <c r="T19" s="2434"/>
      <c r="U19" s="2434"/>
      <c r="V19" s="2434"/>
    </row>
    <row r="20" spans="1:28">
      <c r="A20" s="2627" t="s">
        <v>2201</v>
      </c>
      <c r="B20" s="3521" t="s">
        <v>2202</v>
      </c>
      <c r="C20" s="3522"/>
      <c r="D20" s="3523" t="s">
        <v>2203</v>
      </c>
      <c r="E20" s="3524"/>
      <c r="F20" s="2642" t="s">
        <v>1056</v>
      </c>
      <c r="G20" s="2659"/>
      <c r="H20" s="2659"/>
      <c r="I20" s="2659"/>
      <c r="J20" s="2434"/>
      <c r="K20" s="3520"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7"/>
      <c r="O20" s="2406"/>
      <c r="P20" s="2407"/>
      <c r="Q20" s="2368"/>
      <c r="R20" s="2368"/>
      <c r="S20" s="2368"/>
      <c r="T20" s="2368"/>
      <c r="U20" s="2368"/>
      <c r="V20" s="2368"/>
      <c r="W20" s="1743"/>
      <c r="X20" s="1743"/>
      <c r="Y20" s="1743"/>
      <c r="Z20" s="1743"/>
      <c r="AA20" s="1743"/>
      <c r="AB20" s="1743"/>
    </row>
    <row r="21" spans="1:28" ht="24.75" thickBot="1">
      <c r="A21" s="2627"/>
      <c r="B21" s="2628" t="s">
        <v>2205</v>
      </c>
      <c r="C21" s="2629" t="s">
        <v>3446</v>
      </c>
      <c r="D21" s="1566" t="s">
        <v>2206</v>
      </c>
      <c r="E21" s="2630" t="s">
        <v>43</v>
      </c>
      <c r="F21" s="2643"/>
      <c r="G21" s="2659"/>
      <c r="H21" s="2659"/>
      <c r="I21" s="2659"/>
      <c r="J21" s="2434"/>
      <c r="K21" s="352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24.75" thickBot="1">
      <c r="A22" s="2627"/>
      <c r="B22" s="2631" t="s">
        <v>2207</v>
      </c>
      <c r="C22" s="2629" t="s">
        <v>3446</v>
      </c>
      <c r="D22" s="2658"/>
      <c r="E22" s="2658"/>
      <c r="F22" s="2658"/>
      <c r="G22" s="2659"/>
      <c r="H22" s="2659"/>
      <c r="I22" s="2659"/>
      <c r="J22" s="2434"/>
      <c r="K22" s="352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38" t="s">
        <v>2210</v>
      </c>
      <c r="B27" s="320" t="s">
        <v>2211</v>
      </c>
      <c r="C27" s="2411" t="s">
        <v>3378</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38"/>
      <c r="B28" s="302" t="s">
        <v>2212</v>
      </c>
      <c r="C28" s="2413"/>
      <c r="D28" s="2414" t="s">
        <v>3379</v>
      </c>
      <c r="E28" s="2659"/>
      <c r="F28" s="2659"/>
      <c r="G28" s="2659"/>
      <c r="H28" s="2659"/>
      <c r="I28" s="2659"/>
      <c r="J28" s="2434"/>
      <c r="K28" s="2611"/>
      <c r="L28" s="2608"/>
      <c r="M28" s="2608"/>
      <c r="N28" s="2434"/>
      <c r="O28" s="2445"/>
      <c r="P28" s="2434"/>
      <c r="Q28" s="2434"/>
      <c r="R28" s="2434"/>
      <c r="S28" s="2434"/>
      <c r="T28" s="2434"/>
      <c r="U28" s="2434"/>
      <c r="V28" s="2434"/>
    </row>
    <row r="29" spans="1:28">
      <c r="A29" s="3538"/>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39"/>
      <c r="B30" s="302" t="s">
        <v>2214</v>
      </c>
      <c r="C30" s="3540"/>
      <c r="D30" s="3541"/>
      <c r="E30" s="2659"/>
      <c r="F30" s="2659"/>
      <c r="G30" s="2659"/>
      <c r="H30" s="2659"/>
      <c r="I30" s="2659"/>
      <c r="J30" s="2434"/>
      <c r="K30" s="2611"/>
      <c r="L30" s="2608"/>
      <c r="M30" s="2608"/>
      <c r="N30" s="2434"/>
      <c r="O30" s="2445"/>
      <c r="P30" s="2434"/>
      <c r="Q30" s="2434"/>
      <c r="R30" s="2434"/>
      <c r="S30" s="2434"/>
      <c r="T30" s="2434"/>
      <c r="U30" s="2434"/>
      <c r="V30" s="2434"/>
    </row>
    <row r="31" spans="1:28">
      <c r="A31" s="3542" t="s">
        <v>2215</v>
      </c>
      <c r="B31" s="2417" t="s">
        <v>3377</v>
      </c>
      <c r="C31" s="2321" t="str">
        <f>IF(B31="现房","成新及维护状况正常否",IF(B31="在建","工程状态是否正常",IF(B31="土地","是否闲置","-")))</f>
        <v>成新及维护状况正常否</v>
      </c>
      <c r="D31" s="1371"/>
      <c r="E31" s="2418"/>
      <c r="F31" s="2659"/>
      <c r="G31" s="2659"/>
      <c r="H31" s="2659"/>
      <c r="I31" s="2659"/>
      <c r="J31" s="2434"/>
      <c r="K31" s="2610"/>
      <c r="L31" s="2608"/>
      <c r="M31" s="2608"/>
      <c r="N31" s="2434"/>
      <c r="O31" s="2445"/>
      <c r="P31" s="2434"/>
      <c r="Q31" s="2434"/>
      <c r="R31" s="2434"/>
      <c r="S31" s="2434"/>
      <c r="T31" s="2434"/>
      <c r="U31" s="2434"/>
      <c r="V31" s="2434"/>
    </row>
    <row r="32" spans="1:28">
      <c r="A32" s="3543"/>
      <c r="B32" s="2417"/>
      <c r="C32" s="2321" t="str">
        <f>IF(B32="现房","成新及维护状况是否正常",IF(B32="在建","工程状态是否正常",IF(B32="土地","是否闲置","-")))</f>
        <v>-</v>
      </c>
      <c r="D32" s="1371"/>
      <c r="E32" s="2418"/>
      <c r="F32" s="2659"/>
      <c r="G32" s="2659"/>
      <c r="H32" s="2659"/>
      <c r="I32" s="2659"/>
      <c r="J32" s="2434"/>
      <c r="K32" s="2611"/>
      <c r="L32" s="2608"/>
      <c r="M32" s="2608"/>
      <c r="N32" s="2434"/>
      <c r="O32" s="2445"/>
      <c r="P32" s="2434"/>
      <c r="Q32" s="2434"/>
      <c r="R32" s="2434"/>
      <c r="S32" s="2434"/>
      <c r="T32" s="2434"/>
      <c r="U32" s="2434"/>
      <c r="V32" s="2434"/>
    </row>
    <row r="33" spans="1:30">
      <c r="A33" s="3543"/>
      <c r="B33" s="2420"/>
      <c r="C33" s="1588" t="str">
        <f>IF(B33="现房","成新及维护状况是否正常",IF(B33="在建","工程状态是否正常",IF(B33="土地","是否闲置","-")))</f>
        <v>-</v>
      </c>
      <c r="D33" s="1363"/>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4" t="s">
        <v>3371</v>
      </c>
      <c r="C34" s="2024" t="s">
        <v>3372</v>
      </c>
      <c r="D34" s="2024" t="s">
        <v>3373</v>
      </c>
      <c r="E34" s="2024" t="s">
        <v>3374</v>
      </c>
      <c r="F34" s="2024" t="s">
        <v>3375</v>
      </c>
      <c r="G34" s="2024" t="s">
        <v>3376</v>
      </c>
      <c r="H34" s="2024"/>
      <c r="I34" s="2659"/>
      <c r="J34" s="2434"/>
      <c r="K34" s="2422">
        <f>COUNTIF(B34:H34,"——")</f>
        <v>0</v>
      </c>
      <c r="L34" s="323" t="s">
        <v>2217</v>
      </c>
      <c r="M34" s="323" t="s">
        <v>2218</v>
      </c>
      <c r="N34" s="323" t="s">
        <v>2219</v>
      </c>
      <c r="O34" s="323" t="s">
        <v>2220</v>
      </c>
      <c r="P34" s="323" t="s">
        <v>2221</v>
      </c>
      <c r="Q34" s="323" t="s">
        <v>2222</v>
      </c>
      <c r="R34" s="323" t="s">
        <v>2223</v>
      </c>
      <c r="S34" s="3537" t="s">
        <v>2224</v>
      </c>
      <c r="T34" s="2423" t="str">
        <f>NUMBERSTRING(7-K34,1)&amp;"通"</f>
        <v>七通</v>
      </c>
      <c r="U34" s="2434"/>
      <c r="V34" s="2434"/>
    </row>
    <row r="35" spans="1:30">
      <c r="A35" s="2424"/>
      <c r="B35" s="3544" t="s">
        <v>2225</v>
      </c>
      <c r="C35" s="3544"/>
      <c r="D35" s="3544"/>
      <c r="E35" s="3544"/>
      <c r="F35" s="662">
        <f>C10</f>
        <v>0</v>
      </c>
      <c r="G35" s="2659"/>
      <c r="H35" s="2659"/>
      <c r="I35" s="2659"/>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7"/>
      <c r="T35" s="329" t="str">
        <f>IF(T34="一通",L35,IF(T34="二通",M35,IF(T34="三通",N35,IF(T34="四通",O35,IF(T34="五通",P35,IF(T34="六通",Q35,R35))))))</f>
        <v>通路、通电、通讯、通上水、通下水、平整、</v>
      </c>
      <c r="U35" s="2434"/>
      <c r="V35" s="2434"/>
    </row>
    <row r="36" spans="1:30">
      <c r="A36" s="2425"/>
      <c r="B36" s="662" t="s">
        <v>2181</v>
      </c>
      <c r="C36" s="662" t="s">
        <v>2182</v>
      </c>
      <c r="D36" s="662" t="s">
        <v>2180</v>
      </c>
      <c r="E36" s="662" t="s">
        <v>2185</v>
      </c>
      <c r="F36" s="3059" t="s">
        <v>2574</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t="s">
        <v>144</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t="s">
        <v>145</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6"/>
      <c r="M40" s="2446"/>
      <c r="N40" s="2504"/>
      <c r="O40" s="2446"/>
      <c r="P40" s="2434"/>
      <c r="Q40" s="2434"/>
      <c r="R40" s="2434"/>
      <c r="S40" s="2434"/>
      <c r="T40" s="2434"/>
      <c r="U40" s="2434"/>
      <c r="V40" s="2434"/>
    </row>
    <row r="41" spans="1:30">
      <c r="A41" s="2431" t="s">
        <v>2229</v>
      </c>
      <c r="B41" s="1755"/>
      <c r="C41" s="1371"/>
      <c r="D41" s="2368"/>
      <c r="E41" s="2368"/>
      <c r="F41" s="2368"/>
      <c r="G41" s="2368"/>
      <c r="H41" s="2368"/>
      <c r="I41" s="1574"/>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202.08</v>
      </c>
      <c r="B3" s="11">
        <f>IF(C3="否",G5-AT5,G5)</f>
        <v>1763.4099999999999</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1763.4099999999999</v>
      </c>
      <c r="H5" s="13">
        <f t="shared" ref="H5:AT5" si="0">SUM(H13:H656)</f>
        <v>1763.4099999999999</v>
      </c>
      <c r="I5" s="13">
        <f t="shared" si="0"/>
        <v>1763.4099999999999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1286.47</v>
      </c>
      <c r="BA5" s="15">
        <f t="shared" si="1"/>
        <v>1286.47</v>
      </c>
      <c r="BB5" s="15">
        <f t="shared" si="1"/>
        <v>1286.47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202.08</v>
      </c>
      <c r="F6" s="13" t="s">
        <v>0</v>
      </c>
      <c r="G6" s="13" t="s">
        <v>1</v>
      </c>
      <c r="H6" s="17">
        <f>SUMIF(I$12:AB$12,"总值",I6:AB6)</f>
        <v>202.08</v>
      </c>
      <c r="I6" s="13">
        <f t="shared" ref="I6:AB6" si="2">ROUND($A$3*I5/$B$3,2)</f>
        <v>202.08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147.41999999999999</v>
      </c>
      <c r="AZ6" s="13" t="s">
        <v>2</v>
      </c>
      <c r="BA6" s="13">
        <f>ROUND($AY$6*BA5/$AZ$5,2)</f>
        <v>147.41999999999999</v>
      </c>
      <c r="BB6" s="13">
        <f>ROUND($AY$6*BB5/$AZ$5,2)</f>
        <v>147.41999999999999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3447</v>
      </c>
      <c r="D13" s="1623" t="s">
        <v>3380</v>
      </c>
      <c r="E13" s="13">
        <f>IF($C$3="是",ROUND($A$3*G13/$B$3,2),ROUND($A$3*(G13-AT13)/$B$3,2))</f>
        <v>147.41999999999999</v>
      </c>
      <c r="F13" s="29"/>
      <c r="G13" s="30">
        <f>H13+AC13+AT13</f>
        <v>1286.47</v>
      </c>
      <c r="H13" s="17">
        <f>SUMIF(I$12:AB$12,"总值",I13:AB13)</f>
        <v>1286.47</v>
      </c>
      <c r="I13" s="1624">
        <v>1286.47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512-516</v>
      </c>
      <c r="AY13" s="1347">
        <f>ROUND($AY$6*AZ13/$AZ$5,2)</f>
        <v>147.41999999999999</v>
      </c>
      <c r="AZ13" s="13">
        <f>BA13+BL13</f>
        <v>1286.47</v>
      </c>
      <c r="BA13" s="13">
        <f>SUM(BB13:BK13)</f>
        <v>1286.47</v>
      </c>
      <c r="BB13" s="13">
        <f>IF($D13="是",I13-J13,0)</f>
        <v>1286.47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2101</v>
      </c>
      <c r="D14" s="1623" t="s">
        <v>3370</v>
      </c>
      <c r="E14" s="13">
        <f>IF($C$3="是",ROUND($A$3*G14/$B$3,2),ROUND($A$3*(G14-AT14)/$B$3,2))</f>
        <v>27.14</v>
      </c>
      <c r="F14" s="29"/>
      <c r="G14" s="30">
        <f>H14+AC14+AT14</f>
        <v>236.83</v>
      </c>
      <c r="H14" s="17">
        <f>SUMIF(I$12:AB$12,"总值",I14:AB14)</f>
        <v>236.83</v>
      </c>
      <c r="I14" s="1624">
        <v>236.83</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2101</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2201</v>
      </c>
      <c r="D15" s="1623" t="s">
        <v>3370</v>
      </c>
      <c r="E15" s="13">
        <f>IF($C$3="是",ROUND($A$3*G15/$B$3,2),ROUND($A$3*(G15-AT15)/$B$3,2))</f>
        <v>27.52</v>
      </c>
      <c r="F15" s="29"/>
      <c r="G15" s="30">
        <f>H15+AC15+AT15</f>
        <v>240.11</v>
      </c>
      <c r="H15" s="17">
        <f>SUMIF(I$12:AB$12,"总值",I15:AB15)</f>
        <v>240.11</v>
      </c>
      <c r="I15" s="1624">
        <v>240.11</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2201</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4" t="s">
        <v>1129</v>
      </c>
      <c r="B2" s="3554"/>
      <c r="C2" s="3554"/>
      <c r="D2" s="794" t="s">
        <v>1105</v>
      </c>
      <c r="E2" s="1637" t="s">
        <v>1106</v>
      </c>
      <c r="F2" s="2654"/>
      <c r="G2" s="2645"/>
      <c r="H2" s="2646"/>
      <c r="I2" s="2323" t="s">
        <v>1130</v>
      </c>
      <c r="J2" s="2654"/>
      <c r="K2" s="2654"/>
      <c r="L2" s="2654"/>
      <c r="M2" s="2654"/>
      <c r="N2" s="2656"/>
      <c r="O2" s="2654"/>
      <c r="P2" s="2654"/>
    </row>
    <row r="3" spans="1:16" ht="15.75" thickBot="1">
      <c r="A3" s="3555" t="s">
        <v>1103</v>
      </c>
      <c r="B3" s="3555"/>
      <c r="C3" s="3555"/>
      <c r="D3" s="43">
        <f>'数据-基础表'!AY6</f>
        <v>147.41999999999999</v>
      </c>
      <c r="E3" s="43">
        <f>'数据-基础表'!AZ5</f>
        <v>1286.47</v>
      </c>
      <c r="F3" s="2654"/>
      <c r="G3" s="1143"/>
      <c r="H3" s="1024" t="s">
        <v>1104</v>
      </c>
      <c r="I3" s="853">
        <f>ROUND('数据-基础表'!B3/'数据-基础表'!A3,2)</f>
        <v>8.73</v>
      </c>
      <c r="J3" s="2654"/>
      <c r="K3" s="2654"/>
      <c r="L3" s="2654"/>
      <c r="M3" s="2654"/>
      <c r="N3" s="2656"/>
      <c r="O3" s="2654"/>
      <c r="P3" s="2654"/>
    </row>
    <row r="4" spans="1:16" ht="15">
      <c r="A4" s="3556"/>
      <c r="B4" s="3557"/>
      <c r="C4" s="3558"/>
      <c r="D4" s="1639" t="s">
        <v>1105</v>
      </c>
      <c r="E4" s="1640" t="s">
        <v>1106</v>
      </c>
      <c r="F4" s="2654"/>
      <c r="G4" s="2647" t="s">
        <v>1131</v>
      </c>
      <c r="H4" s="1024" t="s">
        <v>1111</v>
      </c>
      <c r="I4" s="853">
        <f>ROUND(SUMIF('数据-基础表'!I9:AS9,"地上",'数据-基础表'!I5:AS5)/'数据-基础表'!A3,2)</f>
        <v>8.73</v>
      </c>
      <c r="J4" s="2654"/>
      <c r="K4" s="2654"/>
      <c r="L4" s="2654"/>
      <c r="M4" s="2654"/>
      <c r="N4" s="2656"/>
      <c r="O4" s="2654"/>
      <c r="P4" s="2654"/>
    </row>
    <row r="5" spans="1:16">
      <c r="A5" s="44" t="s">
        <v>1107</v>
      </c>
      <c r="B5" s="3559" t="s">
        <v>1108</v>
      </c>
      <c r="C5" s="3559"/>
      <c r="D5" s="45">
        <f>ROUND($D$3*E5/$E$3,2)</f>
        <v>0</v>
      </c>
      <c r="E5" s="46">
        <f>SUMIF('数据-基础表'!$11:$11,"住宅",'数据-基础表'!$5:$5)</f>
        <v>0</v>
      </c>
      <c r="F5" s="2654"/>
      <c r="G5" s="1143"/>
      <c r="H5" s="1024" t="s">
        <v>1104</v>
      </c>
      <c r="I5" s="853">
        <f>ROUND(E31/D31,2)</f>
        <v>8.73</v>
      </c>
      <c r="J5" s="2654"/>
      <c r="K5" s="2654"/>
      <c r="L5" s="2654"/>
      <c r="M5" s="2654"/>
      <c r="N5" s="2654"/>
      <c r="O5" s="2654"/>
      <c r="P5" s="2654"/>
    </row>
    <row r="6" spans="1:16" ht="15" thickBot="1">
      <c r="A6" s="1642"/>
      <c r="B6" s="3559" t="s">
        <v>1109</v>
      </c>
      <c r="C6" s="3559"/>
      <c r="D6" s="45">
        <f>ROUND($D$3*E6/$E$3,2)</f>
        <v>147.41999999999999</v>
      </c>
      <c r="E6" s="46">
        <f>E3-E5</f>
        <v>1286.47</v>
      </c>
      <c r="F6" s="2654"/>
      <c r="G6" s="2648" t="s">
        <v>1110</v>
      </c>
      <c r="H6" s="1144" t="s">
        <v>1111</v>
      </c>
      <c r="I6" s="2649">
        <f>ROUND(F31/D31,2)</f>
        <v>8.73</v>
      </c>
      <c r="J6" s="2654"/>
      <c r="K6" s="2654"/>
      <c r="L6" s="2654"/>
      <c r="M6" s="2654"/>
      <c r="N6" s="2654"/>
      <c r="O6" s="2654"/>
      <c r="P6" s="2654"/>
    </row>
    <row r="7" spans="1:16" ht="15.75" thickBot="1">
      <c r="A7" s="3551"/>
      <c r="B7" s="3552"/>
      <c r="C7" s="3553"/>
      <c r="D7" s="1639" t="s">
        <v>1105</v>
      </c>
      <c r="E7" s="1643"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147.41999999999999</v>
      </c>
      <c r="E8" s="48">
        <f>SUMIF('数据-基础表'!BB10:BK10,"地上",'数据-基础表'!BB5:BK5)</f>
        <v>1286.47</v>
      </c>
      <c r="F8" s="2654"/>
      <c r="G8" s="2655"/>
      <c r="H8" s="2655"/>
      <c r="I8" s="2654"/>
      <c r="J8" s="2654"/>
      <c r="K8" s="2654"/>
      <c r="L8" s="2654"/>
      <c r="M8" s="2654"/>
      <c r="N8" s="2654"/>
      <c r="O8" s="2654"/>
      <c r="P8" s="2654"/>
    </row>
    <row r="9" spans="1:16">
      <c r="A9" s="1644"/>
      <c r="B9" s="1645"/>
      <c r="C9" s="45" t="s">
        <v>1117</v>
      </c>
      <c r="D9" s="45">
        <f t="shared" si="0"/>
        <v>0</v>
      </c>
      <c r="E9" s="49">
        <v>0</v>
      </c>
      <c r="F9" s="2654"/>
      <c r="G9" s="2655"/>
      <c r="H9" s="2655"/>
      <c r="I9" s="2654"/>
      <c r="J9" s="2654"/>
      <c r="K9" s="2654"/>
      <c r="L9" s="2654"/>
      <c r="M9" s="2654"/>
      <c r="N9" s="2654"/>
      <c r="O9" s="2654"/>
      <c r="P9" s="2654"/>
    </row>
    <row r="10" spans="1:16">
      <c r="A10" s="1644"/>
      <c r="B10" s="1645"/>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1121</v>
      </c>
      <c r="D16" s="47">
        <f>SUM(D8:D15)</f>
        <v>147.41999999999999</v>
      </c>
      <c r="E16" s="50">
        <f>SUM(E8:E15)</f>
        <v>1286.47</v>
      </c>
      <c r="F16" s="2654"/>
      <c r="G16" s="2655"/>
      <c r="H16" s="1646" t="s">
        <v>1133</v>
      </c>
      <c r="I16" s="1647"/>
      <c r="J16" s="1137"/>
      <c r="K16" s="3548" t="s">
        <v>1133</v>
      </c>
      <c r="L16" s="3549"/>
      <c r="M16" s="3549"/>
      <c r="N16" s="3549"/>
      <c r="O16" s="3549"/>
      <c r="P16" s="3550"/>
    </row>
    <row r="17" spans="1:19" ht="15">
      <c r="A17" s="1648" t="s">
        <v>1134</v>
      </c>
      <c r="B17" s="1649" t="s">
        <v>1135</v>
      </c>
      <c r="C17" s="1650" t="s">
        <v>1136</v>
      </c>
      <c r="D17" s="1651" t="s">
        <v>1124</v>
      </c>
      <c r="E17" s="1652" t="s">
        <v>1125</v>
      </c>
      <c r="F17" s="1653"/>
      <c r="G17" s="1654"/>
      <c r="H17" s="1655" t="s">
        <v>1137</v>
      </c>
      <c r="I17" s="1656" t="s">
        <v>1122</v>
      </c>
      <c r="J17" s="1137"/>
      <c r="K17" s="3545" t="s">
        <v>1138</v>
      </c>
      <c r="L17" s="3546"/>
      <c r="M17" s="3547"/>
      <c r="N17" s="3545" t="s">
        <v>1139</v>
      </c>
      <c r="O17" s="3546"/>
      <c r="P17" s="3547"/>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3" t="s">
        <v>3383</v>
      </c>
      <c r="D19" s="45">
        <f>ROUND($D$3*E19/$E$3,2)</f>
        <v>147.41999999999999</v>
      </c>
      <c r="E19" s="53">
        <f t="shared" ref="E19:E26" si="1">SUM(F19:G19)</f>
        <v>1286.47</v>
      </c>
      <c r="F19" s="2789">
        <f>'数据-基础表'!I13</f>
        <v>1286.47</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147.41999999999999</v>
      </c>
      <c r="S19" s="1025">
        <f t="shared" si="5"/>
        <v>1286.47</v>
      </c>
    </row>
    <row r="20" spans="1:19">
      <c r="A20" s="1668"/>
      <c r="B20" s="47" t="s">
        <v>1151</v>
      </c>
      <c r="C20" s="3413"/>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3"/>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4"/>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4"/>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4"/>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4"/>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147.41999999999999</v>
      </c>
      <c r="E27" s="1139">
        <f>IF(SUM(E19:E26)='数据-基础表'!BA5,SUM(E19:E26),IF(F27="地上面积有误","面积有误","地下面积有误"))</f>
        <v>1286.47</v>
      </c>
      <c r="F27" s="1138">
        <f>IF(SUM(F19:F26)=E8,SUM(F19:F26),"地上面积有误")</f>
        <v>1286.47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147.41999999999999</v>
      </c>
      <c r="S27" s="1024">
        <f>IF(SUM(S19:S26)=$E$3,SUM(S19:S26),SUM(S19:S26)&amp;"误差"&amp;ROUND(SUM(S19:S26)-E3,2))</f>
        <v>1286.47</v>
      </c>
    </row>
    <row r="28" spans="1:19">
      <c r="A28" s="1668"/>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1153</v>
      </c>
      <c r="C29" s="1672"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1156</v>
      </c>
      <c r="D31" s="674">
        <f>D27+D30</f>
        <v>147.41999999999999</v>
      </c>
      <c r="E31" s="674">
        <f>E27+E30</f>
        <v>1286.47</v>
      </c>
      <c r="F31" s="675">
        <f>F27+F30</f>
        <v>1286.47</v>
      </c>
      <c r="G31" s="676">
        <f>G27+G30</f>
        <v>0</v>
      </c>
      <c r="H31" s="2654"/>
      <c r="I31" s="2654"/>
      <c r="J31" s="2654"/>
      <c r="K31" s="2654"/>
      <c r="L31" s="2654"/>
      <c r="M31" s="2654"/>
      <c r="N31" s="2654"/>
      <c r="O31" s="2654"/>
      <c r="P31" s="2654"/>
    </row>
    <row r="32" spans="1:19">
      <c r="A32" s="1641"/>
      <c r="B32" s="1641" t="s">
        <v>1157</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H43" sqref="H4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1159</v>
      </c>
      <c r="B2" s="1043">
        <f>项目基本情况!D3</f>
        <v>44965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3"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20.99</v>
      </c>
      <c r="G6" s="65">
        <f>IF(ISERROR(ROUND(POWER(1+H6,D6-F6)*(POWER(1+H6,F6)-1)/(POWER(1+H6,D6)-1),3)),0,ROUND(POWER(1+H6,D6-F6)*(POWER(1+H6,F6)-1)/(POWER(1+H6,D6)-1),3))</f>
        <v>0.70199999999999996</v>
      </c>
      <c r="H6" s="730">
        <v>0.05</v>
      </c>
      <c r="I6" s="730">
        <v>5.5E-2</v>
      </c>
      <c r="J6" s="66">
        <v>0.08</v>
      </c>
      <c r="K6" s="1028">
        <f>SUMIF('数据-汇总表'!C$19:C$33,A6,'数据-汇总表'!E$19:E$33)</f>
        <v>1286.47</v>
      </c>
      <c r="L6" s="731">
        <v>3800</v>
      </c>
      <c r="M6" s="67">
        <f t="shared" ref="M6:M14" si="0">ROUND(K6*L6/10000,0)</f>
        <v>489</v>
      </c>
      <c r="N6" s="729">
        <f>O21</f>
        <v>0.7</v>
      </c>
      <c r="O6" s="67" t="str">
        <f>IF($N$5="成新度","——",ROUND(M6*N6,0))</f>
        <v>——</v>
      </c>
      <c r="P6" s="68" t="str">
        <f>IF($N$5="成新度","——",M6-O6)</f>
        <v>——</v>
      </c>
      <c r="Q6" s="732">
        <v>0.15</v>
      </c>
      <c r="R6" s="69">
        <f ca="1">SUMIF('数据-汇总表'!C$19:C$33,A6,'数据-汇总表'!R$19:R$27)</f>
        <v>147.41999999999999</v>
      </c>
      <c r="S6" s="51">
        <f>IF('数据-汇总表'!$I$17="按面积比例",SUMIF('数据-汇总表'!C$19:C$33,A6,'数据-汇总表'!K$19:K$33),SUMIF('数据-汇总表'!C$19:C$33,A6,'数据-汇总表'!N$19:N$33))</f>
        <v>0</v>
      </c>
      <c r="T6" s="1170">
        <f>ROUND($L$14*S6/10000,0)</f>
        <v>0</v>
      </c>
      <c r="U6" s="3424">
        <v>7.2</v>
      </c>
      <c r="V6" s="70">
        <v>0.03</v>
      </c>
      <c r="W6" s="70">
        <v>0.1</v>
      </c>
      <c r="X6" s="1038"/>
      <c r="Y6" s="71">
        <f>N6</f>
        <v>0.7</v>
      </c>
      <c r="Z6" s="72"/>
      <c r="AA6" s="66"/>
      <c r="AB6" s="66"/>
      <c r="AC6" s="1038"/>
      <c r="AD6" s="73"/>
      <c r="AE6" s="1039">
        <f ca="1">IF(AN6="",0,SUMIF(INDIRECT("'"&amp;AN6&amp;"'"&amp;"!E:E"),$AE$5,INDIRECT("'"&amp;AN6&amp;"'"&amp;"!F:F")))</f>
        <v>20.99</v>
      </c>
      <c r="AF6" s="1346"/>
      <c r="AG6" s="138">
        <f>IF(AF6="",0,AE6-AF6)</f>
        <v>0</v>
      </c>
      <c r="AH6" s="74"/>
      <c r="AI6" s="76">
        <v>365</v>
      </c>
      <c r="AJ6" s="77"/>
      <c r="AK6" s="78">
        <v>0.01</v>
      </c>
      <c r="AL6" s="79">
        <v>1E-3</v>
      </c>
      <c r="AM6" s="80">
        <v>0.01</v>
      </c>
      <c r="AN6" s="1713" t="s">
        <v>3389</v>
      </c>
      <c r="AO6" s="52">
        <f ca="1">SUMIF(INDIRECT("'"&amp;AN6&amp;"'"&amp;"!A:A"),"总价",INDIRECT("'"&amp;AN6&amp;"'"&amp;"!B:B"))</f>
        <v>3839.5032999999999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0.70199999999999996</v>
      </c>
      <c r="H16" s="90">
        <f>ROUND(SUMPRODUCT(H6:H13,K6:K13)/SUMPRODUCT((H6:H13&gt;0)*(K6:K13)),3)</f>
        <v>0.05</v>
      </c>
      <c r="I16" s="91"/>
      <c r="J16" s="91"/>
      <c r="K16" s="92">
        <f>SUM(K6:K15)</f>
        <v>1286.47</v>
      </c>
      <c r="L16" s="93">
        <f>ROUND(M16*10000/SUM(K6:K14),0)</f>
        <v>3801</v>
      </c>
      <c r="M16" s="93">
        <f>SUM(M6:M14)</f>
        <v>489</v>
      </c>
      <c r="N16" s="94">
        <f>ROUND(SUMPRODUCT(M6:M14,N6:N14)/M16,3)</f>
        <v>0.7</v>
      </c>
      <c r="O16" s="93">
        <f>SUM(O6:O14)</f>
        <v>0</v>
      </c>
      <c r="P16" s="93">
        <f>SUM(P6:P14)</f>
        <v>0</v>
      </c>
      <c r="Q16" s="95">
        <f>ROUND(SUMPRODUCT(Q6:Q13,K6:K13)/SUMPRODUCT((Q6:Q13&gt;0)*(K6:K13)),2)</f>
        <v>0.15</v>
      </c>
      <c r="R16" s="1032">
        <f ca="1">SUM(R6:R13)</f>
        <v>147.41999999999999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1209</v>
      </c>
      <c r="B19" s="103"/>
      <c r="C19" s="2793" t="s">
        <v>2297</v>
      </c>
      <c r="D19" s="2670"/>
      <c r="E19" s="2667"/>
      <c r="F19" s="2667"/>
      <c r="G19" s="2667"/>
      <c r="H19" s="2667"/>
      <c r="I19" s="2667"/>
      <c r="J19" s="2667"/>
      <c r="K19" s="2666"/>
      <c r="L19" s="2666"/>
      <c r="M19" s="2665"/>
      <c r="N19" s="3442" t="s">
        <v>3385</v>
      </c>
      <c r="O19" s="3443">
        <f>ROUND(1-(2023-1996)/60,2)</f>
        <v>0.55000000000000004</v>
      </c>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1210</v>
      </c>
      <c r="B20" s="104">
        <v>2</v>
      </c>
      <c r="C20" s="2794" t="s">
        <v>2295</v>
      </c>
      <c r="D20" s="2670"/>
      <c r="E20" s="2667"/>
      <c r="F20" s="2667"/>
      <c r="G20" s="2667"/>
      <c r="H20" s="2667"/>
      <c r="I20" s="2667"/>
      <c r="J20" s="2667"/>
      <c r="K20" s="2666"/>
      <c r="L20" s="2666"/>
      <c r="M20" s="2665"/>
      <c r="N20" s="3442" t="s">
        <v>3386</v>
      </c>
      <c r="O20" s="3443">
        <v>0.85</v>
      </c>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1211</v>
      </c>
      <c r="B21" s="104">
        <v>2</v>
      </c>
      <c r="C21" s="2667"/>
      <c r="D21" s="2670"/>
      <c r="E21" s="2667"/>
      <c r="F21" s="2667"/>
      <c r="G21" s="2667"/>
      <c r="H21" s="2667"/>
      <c r="I21" s="2667"/>
      <c r="J21" s="2667"/>
      <c r="K21" s="2666"/>
      <c r="L21" s="2666"/>
      <c r="M21" s="2665"/>
      <c r="N21" s="3442" t="s">
        <v>3387</v>
      </c>
      <c r="O21" s="3443">
        <f>ROUND((O19+O20)/2,2)</f>
        <v>0.7</v>
      </c>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1215</v>
      </c>
      <c r="B26" s="1724"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1218</v>
      </c>
      <c r="B27" s="107">
        <v>160</v>
      </c>
      <c r="C27" s="2795" t="s">
        <v>2299</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26</v>
      </c>
      <c r="C29" s="2796" t="s">
        <v>2286</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7" t="s">
        <v>2289</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1228</v>
      </c>
      <c r="B37" s="115">
        <v>1.4999999999999999E-2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1229</v>
      </c>
      <c r="B38" s="115">
        <v>1.4999999999999999E-2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0.25" customHeight="1" thickBot="1">
      <c r="A40" s="2809" t="s">
        <v>3388</v>
      </c>
      <c r="B40" s="1076">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1234</v>
      </c>
      <c r="B44" s="119">
        <v>7.0000000000000007E-2</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1235</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1236</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1237</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1238</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1239</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1240</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1241</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1242</v>
      </c>
      <c r="B52" s="124">
        <f>SUMIF(A54:A63,B53,B54:B63)</f>
        <v>30</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1243</v>
      </c>
      <c r="B53" s="1736" t="s">
        <v>144</v>
      </c>
      <c r="C53" s="2656" t="s">
        <v>1244</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1245</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1246</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1247</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1248</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1249</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1250</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4"/>
  </cols>
  <sheetData>
    <row r="1" spans="1:29" s="2452" customFormat="1" ht="18.75" thickBot="1">
      <c r="A1" s="3560" t="s">
        <v>2278</v>
      </c>
      <c r="B1" s="3561"/>
      <c r="C1" s="3561"/>
      <c r="D1" s="3561"/>
      <c r="E1" s="3561"/>
      <c r="F1" s="3561"/>
      <c r="G1" s="356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7"/>
      <c r="I2" s="797"/>
      <c r="J2" s="797"/>
      <c r="K2" s="797"/>
      <c r="L2" s="797"/>
      <c r="M2" s="797"/>
      <c r="N2" s="797"/>
      <c r="O2" s="797"/>
      <c r="P2" s="797"/>
      <c r="Q2" s="797"/>
      <c r="R2" s="797"/>
    </row>
    <row r="3" spans="1:29" ht="25.5">
      <c r="A3" s="2436" t="s">
        <v>2276</v>
      </c>
      <c r="B3" s="2458" t="s">
        <v>2248</v>
      </c>
      <c r="C3" s="2459"/>
      <c r="D3" s="2460"/>
      <c r="E3" s="2437" t="s">
        <v>2276</v>
      </c>
      <c r="F3" s="2461" t="s">
        <v>2249</v>
      </c>
      <c r="G3" s="2462" t="s">
        <v>2277</v>
      </c>
      <c r="H3" s="797"/>
      <c r="I3" s="797"/>
      <c r="J3" s="797"/>
      <c r="K3" s="797"/>
      <c r="L3" s="797"/>
      <c r="M3" s="797"/>
      <c r="N3" s="797"/>
      <c r="O3" s="797"/>
      <c r="P3" s="797"/>
      <c r="Q3" s="797"/>
      <c r="R3" s="797"/>
    </row>
    <row r="4" spans="1:29" ht="36">
      <c r="A4" s="2437"/>
      <c r="B4" s="323" t="s">
        <v>2250</v>
      </c>
      <c r="C4" s="2463"/>
      <c r="D4" s="2460"/>
      <c r="E4" s="2464"/>
      <c r="F4" s="1371" t="s">
        <v>2251</v>
      </c>
      <c r="G4" s="2465" t="s">
        <v>2252</v>
      </c>
      <c r="H4" s="797"/>
      <c r="I4" s="797"/>
      <c r="J4" s="797"/>
      <c r="K4" s="797"/>
      <c r="L4" s="797"/>
      <c r="M4" s="797"/>
      <c r="N4" s="797"/>
      <c r="O4" s="797"/>
      <c r="P4" s="797"/>
      <c r="Q4" s="797"/>
      <c r="R4" s="797"/>
    </row>
    <row r="5" spans="1:29" ht="51">
      <c r="A5" s="2437"/>
      <c r="B5" s="323" t="s">
        <v>2253</v>
      </c>
      <c r="C5" s="2463" t="s">
        <v>3448</v>
      </c>
      <c r="D5" s="2460"/>
      <c r="E5" s="2464"/>
      <c r="F5" s="323" t="s">
        <v>2254</v>
      </c>
      <c r="G5" s="2465" t="s">
        <v>2255</v>
      </c>
      <c r="H5" s="797"/>
      <c r="I5" s="797"/>
      <c r="J5" s="797"/>
      <c r="K5" s="797"/>
      <c r="L5" s="797"/>
      <c r="M5" s="797"/>
      <c r="N5" s="797"/>
      <c r="O5" s="797"/>
      <c r="P5" s="797"/>
      <c r="Q5" s="797"/>
      <c r="R5" s="797"/>
    </row>
    <row r="6" spans="1:29" ht="51">
      <c r="A6" s="2437"/>
      <c r="B6" s="323" t="s">
        <v>2256</v>
      </c>
      <c r="C6" s="2465" t="s">
        <v>3449</v>
      </c>
      <c r="D6" s="2460"/>
      <c r="E6" s="2464"/>
      <c r="F6" s="323" t="s">
        <v>2257</v>
      </c>
      <c r="G6" s="2465" t="s">
        <v>2258</v>
      </c>
      <c r="H6" s="797"/>
      <c r="I6" s="797"/>
      <c r="J6" s="797"/>
      <c r="K6" s="797"/>
      <c r="L6" s="797"/>
      <c r="M6" s="797"/>
      <c r="N6" s="797"/>
      <c r="O6" s="797"/>
      <c r="P6" s="797"/>
      <c r="Q6" s="797"/>
      <c r="R6" s="797"/>
    </row>
    <row r="7" spans="1:29" ht="39" thickBot="1">
      <c r="A7" s="2437"/>
      <c r="B7" s="323" t="s">
        <v>2254</v>
      </c>
      <c r="C7" s="2465" t="s">
        <v>3450</v>
      </c>
      <c r="D7" s="2466"/>
      <c r="E7" s="2467"/>
      <c r="F7" s="2468" t="s">
        <v>2259</v>
      </c>
      <c r="G7" s="2469" t="s">
        <v>2260</v>
      </c>
      <c r="H7" s="797"/>
      <c r="I7" s="797"/>
      <c r="J7" s="797"/>
      <c r="K7" s="797"/>
      <c r="L7" s="797"/>
      <c r="M7" s="797"/>
      <c r="N7" s="797"/>
      <c r="O7" s="797"/>
      <c r="P7" s="797"/>
      <c r="Q7" s="797"/>
      <c r="R7" s="797"/>
    </row>
    <row r="8" spans="1:29" ht="25.5">
      <c r="A8" s="2437"/>
      <c r="B8" s="323" t="s">
        <v>2257</v>
      </c>
      <c r="C8" s="2465" t="s">
        <v>3451</v>
      </c>
      <c r="D8" s="2466"/>
      <c r="E8" s="2466"/>
      <c r="F8" s="2470"/>
      <c r="G8" s="2470"/>
      <c r="H8" s="797"/>
      <c r="I8" s="797"/>
      <c r="J8" s="797"/>
      <c r="K8" s="797"/>
      <c r="L8" s="797"/>
      <c r="M8" s="797"/>
      <c r="N8" s="797"/>
      <c r="O8" s="797"/>
      <c r="P8" s="797"/>
      <c r="Q8" s="797"/>
      <c r="R8" s="797"/>
    </row>
    <row r="9" spans="1:29" ht="51">
      <c r="A9" s="2437"/>
      <c r="B9" s="323" t="s">
        <v>2261</v>
      </c>
      <c r="C9" s="2463" t="s">
        <v>3452</v>
      </c>
      <c r="D9" s="2460"/>
      <c r="E9" s="2466"/>
      <c r="F9" s="2470"/>
      <c r="G9" s="2470"/>
      <c r="H9" s="797"/>
      <c r="I9" s="797"/>
      <c r="J9" s="797"/>
      <c r="K9" s="797"/>
      <c r="L9" s="797"/>
      <c r="M9" s="797"/>
      <c r="N9" s="797"/>
      <c r="O9" s="797"/>
      <c r="P9" s="797"/>
      <c r="Q9" s="797"/>
      <c r="R9" s="797"/>
    </row>
    <row r="10" spans="1:29" s="2476" customFormat="1" ht="15" thickBot="1">
      <c r="A10" s="2438"/>
      <c r="B10" s="2471" t="s">
        <v>2262</v>
      </c>
      <c r="C10" s="2472" t="s">
        <v>3453</v>
      </c>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2279</v>
      </c>
      <c r="B13" s="2479"/>
      <c r="C13" s="2479"/>
      <c r="D13" s="2477"/>
      <c r="E13" s="2479"/>
      <c r="F13" s="2479"/>
      <c r="G13" s="2479"/>
    </row>
    <row r="14" spans="1:29" ht="15" thickBot="1">
      <c r="A14" s="2489"/>
      <c r="B14" s="2489"/>
      <c r="C14" s="2490" t="s">
        <v>2263</v>
      </c>
      <c r="D14" s="2460"/>
      <c r="E14" s="2491"/>
      <c r="F14" s="2491"/>
      <c r="G14" s="2455" t="s">
        <v>2264</v>
      </c>
    </row>
    <row r="15" spans="1:29" ht="25.5">
      <c r="A15" s="2439" t="s">
        <v>2265</v>
      </c>
      <c r="B15" s="2492" t="s">
        <v>2248</v>
      </c>
      <c r="C15" s="2493">
        <f>C3</f>
        <v>0</v>
      </c>
      <c r="D15" s="2460"/>
      <c r="E15" s="2440" t="s">
        <v>2266</v>
      </c>
      <c r="F15" s="2492" t="s">
        <v>2267</v>
      </c>
      <c r="G15" s="2494" t="str">
        <f>G3</f>
        <v>估价对象位于XX开发区，园区建设成熟度XX，产业集聚程度XX</v>
      </c>
    </row>
    <row r="16" spans="1:29" ht="38.25">
      <c r="A16" s="2441"/>
      <c r="B16" s="2495" t="s">
        <v>2250</v>
      </c>
      <c r="C16" s="2496">
        <f>C4</f>
        <v>0</v>
      </c>
      <c r="D16" s="2460"/>
      <c r="E16" s="2442"/>
      <c r="F16" s="2497" t="s">
        <v>2251</v>
      </c>
      <c r="G16" s="2498" t="str">
        <f>G4</f>
        <v>估价对象周边道路状况、公共交通通达情况、停车便捷程度，综合评价交通便捷度较好</v>
      </c>
    </row>
    <row r="17" spans="1:18" ht="51">
      <c r="A17" s="2441"/>
      <c r="B17" s="2495" t="s">
        <v>2253</v>
      </c>
      <c r="C17" s="2496" t="str">
        <f>C5</f>
        <v>估价对象位于朝阳门商圈，周边办公楼项目较多，有联合大厦、华普国际大厦等写字楼，入驻率高，办公集聚程度较好</v>
      </c>
      <c r="D17" s="2466"/>
      <c r="E17" s="2442"/>
      <c r="F17" s="2497" t="s">
        <v>2268</v>
      </c>
      <c r="G17" s="2499"/>
    </row>
    <row r="18" spans="1:18" ht="51">
      <c r="A18" s="2441"/>
      <c r="B18" s="2497" t="s">
        <v>2256</v>
      </c>
      <c r="C18" s="2498" t="str">
        <f>C6</f>
        <v>周边有75、110、420路及地铁2号、6号线，周边道路密集，停车便捷程度，综合评价交通便捷度好</v>
      </c>
      <c r="D18" s="2466"/>
      <c r="E18" s="2442"/>
      <c r="F18" s="2497" t="s">
        <v>2259</v>
      </c>
      <c r="G18" s="2498" t="str">
        <f>G7</f>
        <v>该园区内是否有污染型企业，绿化情况，卫生条件，整体环境状况判断</v>
      </c>
    </row>
    <row r="19" spans="1:18" ht="25.5">
      <c r="A19" s="2441"/>
      <c r="B19" s="2497" t="s">
        <v>2269</v>
      </c>
      <c r="C19" s="2499"/>
      <c r="D19" s="2460"/>
      <c r="E19" s="2442"/>
      <c r="F19" s="323" t="s">
        <v>2254</v>
      </c>
      <c r="G19" s="2498" t="str">
        <f>G5</f>
        <v>估价对象所在区域公共配套设施齐备情况</v>
      </c>
    </row>
    <row r="20" spans="1:18" ht="51">
      <c r="A20" s="2441"/>
      <c r="B20" s="2497" t="s">
        <v>2270</v>
      </c>
      <c r="C20" s="2496" t="str">
        <f>C9</f>
        <v>区域内有东城职业大学、日坛公园、富国海底世界等自然及人文环境，综合评价自然及人文环境状况较好。</v>
      </c>
      <c r="D20" s="2466"/>
      <c r="E20" s="2442"/>
      <c r="F20" s="323" t="s">
        <v>2257</v>
      </c>
      <c r="G20" s="2498" t="str">
        <f>G6</f>
        <v>估价对象所在区域基础设施水平</v>
      </c>
    </row>
    <row r="21" spans="1:18" ht="38.25">
      <c r="A21" s="2441"/>
      <c r="B21" s="323" t="s">
        <v>2254</v>
      </c>
      <c r="C21" s="2498" t="str">
        <f>C7</f>
        <v>估价对象所在区域银行、购物场所、学校等公共配套设施齐备，综合评价公共配套设施水平好。</v>
      </c>
      <c r="D21" s="2460"/>
      <c r="E21" s="2442"/>
      <c r="F21" s="2497" t="s">
        <v>2271</v>
      </c>
      <c r="G21" s="2500"/>
    </row>
    <row r="22" spans="1:18" ht="13.5" customHeight="1">
      <c r="A22" s="2441"/>
      <c r="B22" s="323" t="s">
        <v>2257</v>
      </c>
      <c r="C22" s="2498" t="str">
        <f>C8</f>
        <v>估价对象所在区域基础设施水平“七通一平</v>
      </c>
      <c r="D22" s="2460"/>
      <c r="E22" s="2442"/>
      <c r="F22" s="2497" t="s">
        <v>2262</v>
      </c>
      <c r="G22" s="2499"/>
    </row>
    <row r="23" spans="1:18" s="797" customFormat="1" ht="15" thickBot="1">
      <c r="A23" s="2441"/>
      <c r="B23" s="2497" t="s">
        <v>2271</v>
      </c>
      <c r="C23" s="2500"/>
      <c r="D23" s="1739"/>
      <c r="E23" s="2443"/>
      <c r="F23" s="2501" t="s">
        <v>2272</v>
      </c>
      <c r="G23" s="2502"/>
      <c r="H23" s="2486"/>
      <c r="I23" s="2487"/>
      <c r="J23" s="2486"/>
      <c r="K23" s="2486"/>
      <c r="L23" s="2487"/>
      <c r="M23" s="2486"/>
      <c r="N23" s="2486"/>
      <c r="O23" s="2487"/>
      <c r="P23" s="2486"/>
      <c r="Q23" s="2486"/>
      <c r="R23" s="2488"/>
    </row>
    <row r="24" spans="1:18" s="797" customFormat="1" ht="15" thickBot="1">
      <c r="A24" s="2444"/>
      <c r="B24" s="2501" t="s">
        <v>2273</v>
      </c>
      <c r="C24" s="2503" t="str">
        <f>C10</f>
        <v>城市主干道——朝阳门外大街</v>
      </c>
      <c r="D24" s="1739"/>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1763.4099999999999</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44965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6034</v>
      </c>
      <c r="C5" s="2507">
        <f ca="1">IF(B5=D14,结果表!H102,ROUND(B5*10000/$B$1,0))</f>
        <v>33032</v>
      </c>
      <c r="D5" s="2507" t="e">
        <f ca="1">ROUND(B5*10000/$B$2,0)</f>
        <v>#DIV/0!</v>
      </c>
      <c r="E5" s="2680"/>
      <c r="F5" s="2681"/>
      <c r="G5" s="2681"/>
      <c r="H5" s="2682"/>
      <c r="I5" s="2682"/>
      <c r="J5" s="2682"/>
      <c r="K5" s="2682"/>
    </row>
    <row r="6" spans="1:11" ht="16.5">
      <c r="A6" s="2507" t="s">
        <v>656</v>
      </c>
      <c r="B6" s="2507">
        <f ca="1">SUM(G14:G23)</f>
        <v>6034</v>
      </c>
      <c r="C6" s="2507">
        <f ca="1">IF(B6=G14,结果表!H108,ROUND(B6*10000/$B$1,0))</f>
        <v>33032</v>
      </c>
      <c r="D6" s="2507" t="e">
        <f ca="1">ROUND(B6*10000/$B$2,0)</f>
        <v>#DIV/0!</v>
      </c>
      <c r="E6" s="2680"/>
      <c r="F6" s="2681"/>
      <c r="G6" s="2681"/>
      <c r="H6" s="2682"/>
      <c r="I6" s="2682"/>
      <c r="J6" s="2682"/>
      <c r="K6" s="2682"/>
    </row>
    <row r="7" spans="1:11" ht="16.5">
      <c r="A7" s="2507" t="s">
        <v>664</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3359</v>
      </c>
      <c r="D10" s="2507" t="s">
        <v>3360</v>
      </c>
      <c r="E10" s="3437"/>
      <c r="F10" s="3441" t="s">
        <v>3361</v>
      </c>
      <c r="G10" s="3438"/>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典型户型修正!B22</f>
        <v>1763.4099999999999</v>
      </c>
      <c r="C14" s="2513"/>
      <c r="D14" s="2513">
        <f ca="1">典型户型修正!S22</f>
        <v>6034</v>
      </c>
      <c r="E14" s="2513">
        <f ca="1">结果表!I118</f>
        <v>33032</v>
      </c>
      <c r="F14" s="2513" t="e">
        <f ca="1">ROUND(D14*10000/C14,0)</f>
        <v>#DIV/0!</v>
      </c>
      <c r="G14" s="2513">
        <f ca="1">D14</f>
        <v>6034</v>
      </c>
      <c r="H14" s="2513"/>
      <c r="I14" s="2513"/>
      <c r="J14" s="2681"/>
      <c r="K14" s="2682"/>
    </row>
    <row r="15" spans="1:11" ht="16.5">
      <c r="A15" s="2512" t="s">
        <v>649</v>
      </c>
      <c r="B15" s="2514"/>
      <c r="C15" s="2514"/>
      <c r="D15" s="2514"/>
      <c r="E15" s="2513" t="e">
        <f t="shared" ref="E15:E23" si="0">ROUND(D15*10000/B15,0)</f>
        <v>#DIV/0!</v>
      </c>
      <c r="F15" s="2513" t="e">
        <f t="shared" ref="F15:F23" si="1">ROUND(D15*10000/C15,0)</f>
        <v>#DIV/0!</v>
      </c>
      <c r="G15" s="1329"/>
      <c r="H15" s="1329"/>
      <c r="I15" s="2514"/>
      <c r="J15" s="2681"/>
      <c r="K15" s="2682"/>
    </row>
    <row r="16" spans="1:11" ht="16.5">
      <c r="A16" s="2512" t="s">
        <v>648</v>
      </c>
      <c r="B16" s="2514"/>
      <c r="C16" s="2514"/>
      <c r="D16" s="2514"/>
      <c r="E16" s="2513" t="e">
        <f t="shared" si="0"/>
        <v>#DIV/0!</v>
      </c>
      <c r="F16" s="2513" t="e">
        <f t="shared" si="1"/>
        <v>#DIV/0!</v>
      </c>
      <c r="G16" s="1329"/>
      <c r="H16" s="1329"/>
      <c r="I16" s="2514"/>
      <c r="J16" s="2682"/>
      <c r="K16" s="2682"/>
    </row>
    <row r="17" spans="1:11" ht="16.5">
      <c r="A17" s="2512" t="s">
        <v>647</v>
      </c>
      <c r="B17" s="2514"/>
      <c r="C17" s="2514"/>
      <c r="D17" s="2514"/>
      <c r="E17" s="2513" t="e">
        <f t="shared" si="0"/>
        <v>#DIV/0!</v>
      </c>
      <c r="F17" s="2513" t="e">
        <f t="shared" si="1"/>
        <v>#DIV/0!</v>
      </c>
      <c r="G17" s="1329"/>
      <c r="H17" s="1329"/>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9"/>
  </cols>
  <sheetData>
    <row r="1" spans="2:10">
      <c r="B1" s="3458"/>
      <c r="C1" s="3458"/>
      <c r="D1" s="3458"/>
      <c r="E1" s="3458"/>
      <c r="F1" s="3458"/>
      <c r="G1" s="3458"/>
      <c r="H1" s="3458"/>
      <c r="I1" s="3458"/>
      <c r="J1" s="3458"/>
    </row>
    <row r="2" spans="2:10">
      <c r="B2" s="3573" t="s">
        <v>3469</v>
      </c>
      <c r="C2" s="3573"/>
      <c r="D2" s="3573"/>
      <c r="E2" s="3573"/>
      <c r="F2" s="3573"/>
      <c r="G2" s="3573"/>
      <c r="H2" s="3573"/>
      <c r="I2" s="3573"/>
      <c r="J2" s="3573"/>
    </row>
    <row r="3" spans="2:10">
      <c r="B3" s="3562" t="s">
        <v>3470</v>
      </c>
      <c r="C3" s="3562" t="s">
        <v>3471</v>
      </c>
      <c r="D3" s="3562" t="s">
        <v>3472</v>
      </c>
      <c r="E3" s="3562" t="s">
        <v>3473</v>
      </c>
      <c r="F3" s="3562"/>
      <c r="G3" s="3562" t="s">
        <v>3474</v>
      </c>
      <c r="H3" s="3562"/>
      <c r="I3" s="3562" t="s">
        <v>3475</v>
      </c>
      <c r="J3" s="3562"/>
    </row>
    <row r="4" spans="2:10">
      <c r="B4" s="3562"/>
      <c r="C4" s="3562"/>
      <c r="D4" s="3562"/>
      <c r="E4" s="3460" t="s">
        <v>3476</v>
      </c>
      <c r="F4" s="3460" t="s">
        <v>3437</v>
      </c>
      <c r="G4" s="3460" t="s">
        <v>3476</v>
      </c>
      <c r="H4" s="3460" t="s">
        <v>3437</v>
      </c>
      <c r="I4" s="3460" t="s">
        <v>3476</v>
      </c>
      <c r="J4" s="3460" t="s">
        <v>3437</v>
      </c>
    </row>
    <row r="5" spans="2:10">
      <c r="B5" s="3460" t="str">
        <f>[2]典型户型修正!A24</f>
        <v>512-516</v>
      </c>
      <c r="C5" s="3460">
        <f>[2]典型户型修正!B24</f>
        <v>1286.47</v>
      </c>
      <c r="D5" s="3460">
        <f>[2]结果表!C121</f>
        <v>147.41999999999999</v>
      </c>
      <c r="E5" s="3460">
        <f ca="1">I5-G5</f>
        <v>3565</v>
      </c>
      <c r="F5" s="3460">
        <f ca="1">J5-H5</f>
        <v>27714</v>
      </c>
      <c r="G5" s="3460">
        <f ca="1">ROUND(H5*C5/10000,0)</f>
        <v>684</v>
      </c>
      <c r="H5" s="3460">
        <f ca="1">ROUND(J5*F21,0)</f>
        <v>5318</v>
      </c>
      <c r="I5" s="3460">
        <f ca="1">ROUND(J5*C5/10000,0)</f>
        <v>4249</v>
      </c>
      <c r="J5" s="3461">
        <f ca="1">典型户型修正!R24</f>
        <v>33032</v>
      </c>
    </row>
    <row r="6" spans="2:10">
      <c r="B6" s="3460">
        <f>[2]典型户型修正!A26</f>
        <v>2101</v>
      </c>
      <c r="C6" s="3460">
        <f>[2]典型户型修正!B26</f>
        <v>236.83</v>
      </c>
      <c r="D6" s="3460">
        <f>ROUND(C6/$C$16*$C$17,2)</f>
        <v>27.14</v>
      </c>
      <c r="E6" s="3460">
        <f t="shared" ref="E6:E7" ca="1" si="0">I6-G6</f>
        <v>760</v>
      </c>
      <c r="F6" s="3460">
        <f ca="1">J6-H6</f>
        <v>32107</v>
      </c>
      <c r="G6" s="3460">
        <f ca="1">ROUND(H6*C6/10000,0)</f>
        <v>126</v>
      </c>
      <c r="H6" s="3460">
        <f ca="1">H5</f>
        <v>5318</v>
      </c>
      <c r="I6" s="3460">
        <f ca="1">ROUND(J6*C6/10000,0)</f>
        <v>886</v>
      </c>
      <c r="J6" s="3461">
        <f ca="1">典型户型修正!R25</f>
        <v>37425</v>
      </c>
    </row>
    <row r="7" spans="2:10">
      <c r="B7" s="3460">
        <f>[2]典型户型修正!A27</f>
        <v>2201</v>
      </c>
      <c r="C7" s="3460">
        <f>[2]典型户型修正!B27</f>
        <v>240.11</v>
      </c>
      <c r="D7" s="3460">
        <f>ROUND(C7/$C$16*$C$17,2)</f>
        <v>27.52</v>
      </c>
      <c r="E7" s="3460">
        <f t="shared" ca="1" si="0"/>
        <v>771</v>
      </c>
      <c r="F7" s="3460">
        <f ca="1">J7-H7</f>
        <v>32107</v>
      </c>
      <c r="G7" s="3460">
        <f ca="1">ROUND(H7*C7/10000,0)</f>
        <v>128</v>
      </c>
      <c r="H7" s="3460">
        <f ca="1">H6</f>
        <v>5318</v>
      </c>
      <c r="I7" s="3460">
        <f ca="1">ROUND(J7*C7/10000,0)</f>
        <v>899</v>
      </c>
      <c r="J7" s="3461">
        <f ca="1">典型户型修正!R26</f>
        <v>37425</v>
      </c>
    </row>
    <row r="8" spans="2:10">
      <c r="B8" s="3460" t="s">
        <v>3477</v>
      </c>
      <c r="C8" s="3460">
        <f>SUM(C5:C7)</f>
        <v>1763.4099999999999</v>
      </c>
      <c r="D8" s="3460">
        <f>SUM(D5:D7)</f>
        <v>202.08</v>
      </c>
      <c r="E8" s="3570">
        <f ca="1">SUM(E5:E7)</f>
        <v>5096</v>
      </c>
      <c r="F8" s="3571"/>
      <c r="G8" s="3570">
        <f ca="1">SUM(G5:G7)</f>
        <v>938</v>
      </c>
      <c r="H8" s="3571"/>
      <c r="I8" s="3570">
        <f ca="1">SUM(I5:I7)</f>
        <v>6034</v>
      </c>
      <c r="J8" s="3571"/>
    </row>
    <row r="9" spans="2:10">
      <c r="B9" s="3562" t="s">
        <v>3478</v>
      </c>
      <c r="C9" s="3562"/>
      <c r="D9" s="3562"/>
      <c r="E9" s="3572">
        <f ca="1">E8*10000</f>
        <v>50960000</v>
      </c>
      <c r="F9" s="3572"/>
      <c r="G9" s="3572">
        <f ca="1">G8*10000</f>
        <v>9380000</v>
      </c>
      <c r="H9" s="3572"/>
      <c r="I9" s="3572">
        <f ca="1">I8*10000</f>
        <v>60340000</v>
      </c>
      <c r="J9" s="3572"/>
    </row>
    <row r="10" spans="2:10">
      <c r="B10" s="3566" t="s">
        <v>3479</v>
      </c>
      <c r="C10" s="3566"/>
      <c r="D10" s="3566"/>
      <c r="E10" s="3567">
        <v>0</v>
      </c>
      <c r="F10" s="3568"/>
      <c r="G10" s="3568"/>
      <c r="H10" s="3568"/>
      <c r="I10" s="3568"/>
      <c r="J10" s="3569"/>
    </row>
    <row r="11" spans="2:10">
      <c r="B11" s="3562" t="s">
        <v>3480</v>
      </c>
      <c r="C11" s="3562"/>
      <c r="D11" s="3562"/>
      <c r="E11" s="3563">
        <f>E10*10000</f>
        <v>0</v>
      </c>
      <c r="F11" s="3564"/>
      <c r="G11" s="3564"/>
      <c r="H11" s="3564"/>
      <c r="I11" s="3564"/>
      <c r="J11" s="3565"/>
    </row>
    <row r="12" spans="2:10">
      <c r="B12" s="3566" t="s">
        <v>3368</v>
      </c>
      <c r="C12" s="3566"/>
      <c r="D12" s="3566"/>
      <c r="E12" s="3567">
        <f ca="1">I8</f>
        <v>6034</v>
      </c>
      <c r="F12" s="3568"/>
      <c r="G12" s="3568"/>
      <c r="H12" s="3568"/>
      <c r="I12" s="3568"/>
      <c r="J12" s="3569"/>
    </row>
    <row r="13" spans="2:10">
      <c r="B13" s="3562" t="s">
        <v>3480</v>
      </c>
      <c r="C13" s="3562"/>
      <c r="D13" s="3562"/>
      <c r="E13" s="3563">
        <f ca="1">E12*10000</f>
        <v>60340000</v>
      </c>
      <c r="F13" s="3564"/>
      <c r="G13" s="3564"/>
      <c r="H13" s="3564"/>
      <c r="I13" s="3564"/>
      <c r="J13" s="3565"/>
    </row>
    <row r="14" spans="2:10">
      <c r="B14" s="3458"/>
      <c r="C14" s="3458"/>
      <c r="D14" s="3458"/>
      <c r="E14" s="3458"/>
      <c r="F14" s="3458"/>
      <c r="G14" s="3458"/>
      <c r="H14" s="3458"/>
      <c r="I14" s="3458"/>
      <c r="J14" s="3458"/>
    </row>
    <row r="15" spans="2:10">
      <c r="B15" s="3458"/>
      <c r="C15" s="3458"/>
      <c r="D15" s="3458"/>
      <c r="E15" s="3458"/>
      <c r="F15" s="3458"/>
      <c r="G15" s="3458"/>
      <c r="H15" s="3458"/>
      <c r="I15" s="3458"/>
      <c r="J15" s="3458"/>
    </row>
    <row r="16" spans="2:10">
      <c r="B16" s="3458" t="s">
        <v>3481</v>
      </c>
      <c r="C16" s="3458">
        <v>93222.79</v>
      </c>
      <c r="D16" s="3458"/>
      <c r="E16" s="3458"/>
      <c r="F16" s="3458"/>
      <c r="G16" s="3458"/>
      <c r="H16" s="3458"/>
      <c r="I16" s="3458"/>
      <c r="J16" s="3458"/>
    </row>
    <row r="17" spans="2:10">
      <c r="B17" s="3458" t="s">
        <v>3482</v>
      </c>
      <c r="C17" s="3458">
        <v>10682.89</v>
      </c>
      <c r="D17" s="3458"/>
      <c r="E17" s="3458"/>
      <c r="F17" s="3458"/>
      <c r="G17" s="3458"/>
      <c r="H17" s="3458"/>
      <c r="I17" s="3458"/>
      <c r="J17" s="3458"/>
    </row>
    <row r="18" spans="2:10">
      <c r="B18" s="3458"/>
      <c r="C18" s="3458"/>
      <c r="D18" s="3458"/>
      <c r="E18" s="3458"/>
      <c r="F18" s="3458"/>
      <c r="G18" s="3458"/>
      <c r="H18" s="3458"/>
      <c r="I18" s="3458"/>
      <c r="J18" s="3458"/>
    </row>
    <row r="19" spans="2:10">
      <c r="B19" s="3458"/>
      <c r="C19" s="3462" t="s">
        <v>3483</v>
      </c>
      <c r="D19" s="3463"/>
      <c r="E19" s="3464"/>
      <c r="F19" s="3465" t="s">
        <v>3484</v>
      </c>
      <c r="G19" s="3458"/>
      <c r="H19" s="3458"/>
      <c r="I19" s="3458"/>
      <c r="J19" s="3458"/>
    </row>
    <row r="20" spans="2:10">
      <c r="B20" s="3458"/>
      <c r="C20" s="3466"/>
      <c r="D20" s="3467" t="s">
        <v>3485</v>
      </c>
      <c r="E20" s="3468">
        <f ca="1">E18-E21</f>
        <v>0</v>
      </c>
      <c r="F20" s="3469">
        <f ca="1">'收益法 (元)'!C79</f>
        <v>0.83899999999999997</v>
      </c>
      <c r="G20" s="3458"/>
      <c r="H20" s="3458"/>
      <c r="I20" s="3458"/>
      <c r="J20" s="3458"/>
    </row>
    <row r="21" spans="2:10" ht="15.75" thickBot="1">
      <c r="B21" s="3458"/>
      <c r="C21" s="3470"/>
      <c r="D21" s="3471" t="s">
        <v>3486</v>
      </c>
      <c r="E21" s="3472">
        <f ca="1">ROUND(E18*F21,0)</f>
        <v>0</v>
      </c>
      <c r="F21" s="3469">
        <f ca="1">'收益法 (元)'!C80</f>
        <v>0.161</v>
      </c>
      <c r="G21" s="3458"/>
      <c r="H21" s="3458"/>
      <c r="I21" s="3458"/>
      <c r="J21" s="3458"/>
    </row>
    <row r="22" spans="2:10">
      <c r="B22" s="3458"/>
      <c r="C22" s="3458"/>
      <c r="D22" s="3458"/>
      <c r="E22" s="3458"/>
      <c r="F22" s="3458"/>
      <c r="G22" s="3458"/>
      <c r="H22" s="3458"/>
      <c r="I22" s="3458"/>
      <c r="J22" s="3458"/>
    </row>
  </sheetData>
  <mergeCells count="22">
    <mergeCell ref="B2:J2"/>
    <mergeCell ref="B3:B4"/>
    <mergeCell ref="C3:C4"/>
    <mergeCell ref="D3:D4"/>
    <mergeCell ref="E3:F3"/>
    <mergeCell ref="G3:H3"/>
    <mergeCell ref="I3:J3"/>
    <mergeCell ref="E8:F8"/>
    <mergeCell ref="G8:H8"/>
    <mergeCell ref="I8:J8"/>
    <mergeCell ref="B9:D9"/>
    <mergeCell ref="E9:F9"/>
    <mergeCell ref="G9:H9"/>
    <mergeCell ref="I9:J9"/>
    <mergeCell ref="B13:D13"/>
    <mergeCell ref="E13:J13"/>
    <mergeCell ref="B10:D10"/>
    <mergeCell ref="E10:J10"/>
    <mergeCell ref="B11:D11"/>
    <mergeCell ref="E11:J11"/>
    <mergeCell ref="B12:D12"/>
    <mergeCell ref="E12:J12"/>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Normal="100" zoomScaleSheetLayoutView="100" zoomScalePageLayoutView="80" workbookViewId="0">
      <selection activeCell="C95" sqref="C95:C9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43" t="str">
        <f>项目基本情况!S2</f>
        <v>北京市朝阳区朝阳门外大街18号房地产</v>
      </c>
      <c r="B2" s="3644"/>
      <c r="C2" s="3644"/>
      <c r="D2" s="3644"/>
      <c r="E2" s="3644"/>
      <c r="F2" s="3644"/>
      <c r="G2" s="3644"/>
      <c r="H2" s="3644"/>
      <c r="I2" s="3645"/>
    </row>
    <row r="3" spans="1:12" ht="12.75">
      <c r="A3" s="3647" t="s">
        <v>1262</v>
      </c>
      <c r="B3" s="3648"/>
      <c r="C3" s="3648"/>
      <c r="D3" s="3648"/>
      <c r="E3" s="3648"/>
      <c r="F3" s="3648"/>
      <c r="G3" s="3648"/>
      <c r="H3" s="3648"/>
      <c r="I3" s="3648"/>
    </row>
    <row r="4" spans="1:12" ht="14.25">
      <c r="A4" s="1752" t="s">
        <v>1263</v>
      </c>
      <c r="B4" s="1753" t="s">
        <v>1264</v>
      </c>
      <c r="C4" s="1754" t="s">
        <v>3393</v>
      </c>
      <c r="D4" s="1754" t="s">
        <v>3389</v>
      </c>
      <c r="E4" s="3649" t="s">
        <v>1265</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89" t="s">
        <v>1266</v>
      </c>
      <c r="B5" s="3646">
        <v>25</v>
      </c>
      <c r="C5" s="3635">
        <v>22</v>
      </c>
      <c r="D5" s="3635">
        <v>22</v>
      </c>
      <c r="E5" s="131" t="s">
        <v>1267</v>
      </c>
      <c r="F5" s="1755"/>
      <c r="G5" s="1755"/>
      <c r="H5" s="1755"/>
      <c r="I5" s="1371"/>
    </row>
    <row r="6" spans="1:12" ht="12.75" customHeight="1">
      <c r="A6" s="3589"/>
      <c r="B6" s="3646"/>
      <c r="C6" s="3636"/>
      <c r="D6" s="3636"/>
      <c r="E6" s="131" t="s">
        <v>1268</v>
      </c>
      <c r="F6" s="1755"/>
      <c r="G6" s="1755"/>
      <c r="H6" s="1755"/>
      <c r="I6" s="1371"/>
    </row>
    <row r="7" spans="1:12" ht="12.75" customHeight="1">
      <c r="A7" s="3589"/>
      <c r="B7" s="3646"/>
      <c r="C7" s="3637"/>
      <c r="D7" s="3637"/>
      <c r="E7" s="131" t="s">
        <v>1269</v>
      </c>
      <c r="F7" s="1755"/>
      <c r="G7" s="1755"/>
      <c r="H7" s="1755"/>
      <c r="I7" s="1371"/>
    </row>
    <row r="8" spans="1:12" ht="12.75" customHeight="1">
      <c r="A8" s="3589" t="s">
        <v>1270</v>
      </c>
      <c r="B8" s="3646">
        <v>15</v>
      </c>
      <c r="C8" s="3635">
        <v>11</v>
      </c>
      <c r="D8" s="3635">
        <v>11</v>
      </c>
      <c r="E8" s="131" t="s">
        <v>1271</v>
      </c>
      <c r="F8" s="1755"/>
      <c r="G8" s="1755"/>
      <c r="H8" s="1755"/>
      <c r="I8" s="1371"/>
    </row>
    <row r="9" spans="1:12" ht="12.75" customHeight="1">
      <c r="A9" s="3589"/>
      <c r="B9" s="3646"/>
      <c r="C9" s="3637"/>
      <c r="D9" s="3637"/>
      <c r="E9" s="131" t="s">
        <v>1272</v>
      </c>
      <c r="F9" s="1755"/>
      <c r="G9" s="1755"/>
      <c r="H9" s="1755"/>
      <c r="I9" s="1371"/>
    </row>
    <row r="10" spans="1:12" ht="12.75" customHeight="1">
      <c r="A10" s="3589" t="s">
        <v>1273</v>
      </c>
      <c r="B10" s="3646">
        <v>15</v>
      </c>
      <c r="C10" s="3635">
        <v>11</v>
      </c>
      <c r="D10" s="3635">
        <v>11</v>
      </c>
      <c r="E10" s="131" t="s">
        <v>1274</v>
      </c>
      <c r="F10" s="1755"/>
      <c r="G10" s="1755"/>
      <c r="H10" s="1755"/>
      <c r="I10" s="1371"/>
    </row>
    <row r="11" spans="1:12" ht="12.75" customHeight="1">
      <c r="A11" s="3589"/>
      <c r="B11" s="3646"/>
      <c r="C11" s="3637"/>
      <c r="D11" s="3637"/>
      <c r="E11" s="131" t="s">
        <v>1275</v>
      </c>
      <c r="F11" s="1755"/>
      <c r="G11" s="1755"/>
      <c r="H11" s="1755"/>
      <c r="I11" s="1371"/>
    </row>
    <row r="12" spans="1:12" ht="12.75" customHeight="1">
      <c r="A12" s="3589" t="s">
        <v>1276</v>
      </c>
      <c r="B12" s="3646">
        <v>15</v>
      </c>
      <c r="C12" s="3635">
        <v>12</v>
      </c>
      <c r="D12" s="3635">
        <v>12</v>
      </c>
      <c r="E12" s="131" t="s">
        <v>1277</v>
      </c>
      <c r="F12" s="1755"/>
      <c r="G12" s="1755"/>
      <c r="H12" s="1755"/>
      <c r="I12" s="1371"/>
    </row>
    <row r="13" spans="1:12" ht="12.75" customHeight="1">
      <c r="A13" s="3589"/>
      <c r="B13" s="3646"/>
      <c r="C13" s="3637"/>
      <c r="D13" s="3637"/>
      <c r="E13" s="131" t="s">
        <v>1278</v>
      </c>
      <c r="F13" s="1755"/>
      <c r="G13" s="1755"/>
      <c r="H13" s="1755"/>
      <c r="I13" s="1371"/>
    </row>
    <row r="14" spans="1:12" ht="12.75" customHeight="1">
      <c r="A14" s="3589" t="s">
        <v>1279</v>
      </c>
      <c r="B14" s="3646">
        <v>30</v>
      </c>
      <c r="C14" s="3635">
        <v>22</v>
      </c>
      <c r="D14" s="3635">
        <v>22</v>
      </c>
      <c r="E14" s="131" t="s">
        <v>1280</v>
      </c>
      <c r="F14" s="1755"/>
      <c r="G14" s="1755"/>
      <c r="H14" s="1755"/>
      <c r="I14" s="1371"/>
    </row>
    <row r="15" spans="1:12" ht="12.75" customHeight="1">
      <c r="A15" s="3589"/>
      <c r="B15" s="3646"/>
      <c r="C15" s="3636"/>
      <c r="D15" s="3636"/>
      <c r="E15" s="131" t="s">
        <v>1281</v>
      </c>
      <c r="F15" s="1755"/>
      <c r="G15" s="1755"/>
      <c r="H15" s="1755"/>
      <c r="I15" s="1371"/>
    </row>
    <row r="16" spans="1:12" ht="12.75" customHeight="1">
      <c r="A16" s="3589"/>
      <c r="B16" s="3646"/>
      <c r="C16" s="3637"/>
      <c r="D16" s="3637"/>
      <c r="E16" s="131" t="s">
        <v>1282</v>
      </c>
      <c r="F16" s="1755"/>
      <c r="G16" s="1755"/>
      <c r="H16" s="1755"/>
      <c r="I16" s="1371"/>
    </row>
    <row r="17" spans="1:36" ht="15">
      <c r="A17" s="1756" t="s">
        <v>1283</v>
      </c>
      <c r="B17" s="56"/>
      <c r="C17" s="132">
        <f>SUM(C5:C16)</f>
        <v>78</v>
      </c>
      <c r="D17" s="132">
        <f>SUM(D5:D16)</f>
        <v>78</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65" t="s">
        <v>2127</v>
      </c>
      <c r="F18" s="3666"/>
      <c r="G18" s="3666"/>
      <c r="H18" s="3666"/>
      <c r="I18" s="3666"/>
      <c r="K18" s="302" t="s">
        <v>1287</v>
      </c>
      <c r="L18" s="302">
        <f>IF(C1="",'数据-汇总表'!E3,SUMIF(项目类型,C1,'数据-汇总表'!E17:E26)+SUMIF(项目类型,C1,'数据-汇总表'!I17:I26))</f>
        <v>1286.47</v>
      </c>
      <c r="M18" s="302">
        <f>IF(C1="",'数据-汇总表'!E3,SUMIF(项目类型,C1,'数据-汇总表'!E17:E26))</f>
        <v>1286.47</v>
      </c>
    </row>
    <row r="19" spans="1:36" ht="15">
      <c r="A19" s="1759" t="s">
        <v>1288</v>
      </c>
      <c r="B19" s="1760" t="s">
        <v>1289</v>
      </c>
      <c r="C19" s="134">
        <f ca="1">ROUND(SUMIF(INDIRECT("'"&amp;C4&amp;"'"&amp;"!A:A"),结果表!B19,INDIRECT("'"&amp;C4&amp;"'"&amp;"!B:B")),0)</f>
        <v>4659</v>
      </c>
      <c r="D19" s="135">
        <f ca="1">ROUND(SUMIF(INDIRECT("'"&amp;D4&amp;"'"&amp;"!A:A"),结果表!B19,INDIRECT("'"&amp;D4&amp;"'"&amp;"!B:B")),0)</f>
        <v>3840</v>
      </c>
      <c r="E19" s="1759" t="s">
        <v>1290</v>
      </c>
      <c r="F19" s="1760" t="s">
        <v>1289</v>
      </c>
      <c r="G19" s="136">
        <f ca="1">ROUND(C19*$C$18+D19*$D$18,0)</f>
        <v>4250</v>
      </c>
      <c r="H19" s="1761" t="s">
        <v>1291</v>
      </c>
      <c r="I19" s="129"/>
      <c r="K19" s="302" t="s">
        <v>1292</v>
      </c>
      <c r="L19" s="302">
        <f>IF(C1="",'数据-汇总表'!D3,SUMIF(项目类型,C1,'数据-汇总表'!D17:D26)+SUMIF(项目类型,C1,'数据-汇总表'!H17:H27))</f>
        <v>147.41999999999999</v>
      </c>
      <c r="M19" s="302">
        <f>IF(C1="",'数据-汇总表'!D3,SUMIF(项目类型,C1,'数据-汇总表'!D17:D26))</f>
        <v>147.41999999999999</v>
      </c>
    </row>
    <row r="20" spans="1:36" ht="15">
      <c r="A20" s="1762"/>
      <c r="B20" s="1024" t="s">
        <v>1293</v>
      </c>
      <c r="C20" s="137">
        <f ca="1">SUMIF(INDIRECT("'"&amp;C4&amp;"'"&amp;"!A:A"),结果表!B20,INDIRECT("'"&amp;C4&amp;"'"&amp;"!B:B"))</f>
        <v>36218</v>
      </c>
      <c r="D20" s="138">
        <f ca="1">SUMIF(INDIRECT("'"&amp;D4&amp;"'"&amp;"!A:A"),结果表!B20,INDIRECT("'"&amp;D4&amp;"'"&amp;"!B:B"))</f>
        <v>29845</v>
      </c>
      <c r="E20" s="1762"/>
      <c r="F20" s="1024" t="s">
        <v>1293</v>
      </c>
      <c r="G20" s="139">
        <f ca="1">ROUND(C20*$C$18+D20*$D$18,0)</f>
        <v>33032</v>
      </c>
      <c r="H20" s="806" t="s">
        <v>1294</v>
      </c>
      <c r="I20" s="129"/>
      <c r="J20" s="723">
        <f ca="1">23900/G20</f>
        <v>0.72354080891256967</v>
      </c>
    </row>
    <row r="21" spans="1:36" ht="15" customHeight="1" thickBot="1">
      <c r="A21" s="826"/>
      <c r="B21" s="1763" t="s">
        <v>1295</v>
      </c>
      <c r="C21" s="717">
        <f ca="1">ROUND(C19*10000/L19,0)</f>
        <v>316036</v>
      </c>
      <c r="D21" s="718">
        <f ca="1">ROUND(D19*10000/L19,0)</f>
        <v>260480</v>
      </c>
      <c r="E21" s="826"/>
      <c r="F21" s="1763" t="s">
        <v>1295</v>
      </c>
      <c r="G21" s="140">
        <f ca="1">ROUND(G19*10000/L19,0)</f>
        <v>288292</v>
      </c>
      <c r="H21" s="1764" t="s">
        <v>1294</v>
      </c>
      <c r="I21" s="129"/>
    </row>
    <row r="22" spans="1:36" ht="15" thickBot="1">
      <c r="A22" s="1686" t="s">
        <v>1296</v>
      </c>
      <c r="B22" s="1765"/>
      <c r="C22" s="1766"/>
      <c r="D22" s="719">
        <f ca="1">IF(C19&lt;D19,D19/C19-1,C19/D19-1)</f>
        <v>0.21328125000000009</v>
      </c>
      <c r="E22" s="129"/>
      <c r="F22" s="129"/>
      <c r="G22" s="129"/>
      <c r="H22" s="129"/>
      <c r="I22" s="129"/>
    </row>
    <row r="23" spans="1:36" ht="13.5" thickBot="1">
      <c r="A23" s="1745"/>
      <c r="B23" s="1745"/>
      <c r="C23" s="1745"/>
      <c r="D23" s="1745"/>
      <c r="E23" s="129"/>
      <c r="F23" s="129"/>
      <c r="G23" s="129"/>
      <c r="H23" s="129"/>
      <c r="I23" s="129"/>
    </row>
    <row r="24" spans="1:36" ht="14.25">
      <c r="A24" s="3658" t="s">
        <v>1297</v>
      </c>
      <c r="B24" s="1760" t="s">
        <v>1289</v>
      </c>
      <c r="C24" s="136">
        <f>IF(B30=0,0,D30)</f>
        <v>0</v>
      </c>
      <c r="D24" s="1767"/>
      <c r="E24" s="129"/>
      <c r="F24" s="129"/>
      <c r="G24" s="129"/>
      <c r="H24" s="129"/>
      <c r="I24" s="129"/>
    </row>
    <row r="25" spans="1:36" ht="14.25">
      <c r="A25" s="3659"/>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33032</v>
      </c>
      <c r="D32" s="1773" t="s">
        <v>3437</v>
      </c>
      <c r="E32" s="129"/>
      <c r="F32" s="129"/>
      <c r="G32" s="129"/>
      <c r="H32" s="129"/>
      <c r="I32" s="129"/>
    </row>
    <row r="33" spans="1:15" ht="15">
      <c r="A33" s="784" t="s">
        <v>1304</v>
      </c>
      <c r="B33" s="1774"/>
      <c r="C33" s="1775" t="s">
        <v>3438</v>
      </c>
      <c r="D33" s="1776" t="s">
        <v>3389</v>
      </c>
      <c r="E33" s="1777" t="s">
        <v>1305</v>
      </c>
      <c r="F33" s="1778" t="str">
        <f>IF(D32="楼面单价","取值（单价）","取值（总价）")</f>
        <v>取值（单价）</v>
      </c>
      <c r="G33" s="129"/>
      <c r="H33" s="129"/>
      <c r="I33" s="129"/>
    </row>
    <row r="34" spans="1:15" ht="15">
      <c r="A34" s="1779"/>
      <c r="B34" s="1780" t="s">
        <v>1306</v>
      </c>
      <c r="C34" s="148">
        <f ca="1">IF(C33="自定义",F34,C32-C35)</f>
        <v>27714</v>
      </c>
      <c r="D34" s="859">
        <f ca="1">IF(C33="自定义",ROUND(C34/C32,3),IF(C33="收益比率",SUMIF(INDIRECT("'"&amp;D33&amp;"'"&amp;"!b:b"),"土地收益比率",INDIRECT("'"&amp;D33&amp;"'"&amp;"!c:c")),SUMIF(INDIRECT("'"&amp;D33&amp;"'"&amp;"!b:b"),"土地成本比率",INDIRECT("'"&amp;D33&amp;"'"&amp;"!c:c"))))</f>
        <v>0.83899999999999997</v>
      </c>
      <c r="E34" s="1781" t="s">
        <v>1307</v>
      </c>
      <c r="F34" s="1328"/>
      <c r="G34" s="129"/>
      <c r="H34" s="129"/>
      <c r="I34" s="129"/>
    </row>
    <row r="35" spans="1:15" ht="15.75" thickBot="1">
      <c r="A35" s="1782"/>
      <c r="B35" s="1783" t="s">
        <v>1308</v>
      </c>
      <c r="C35" s="1168">
        <f ca="1">IF(C33="自定义",F35,ROUND(C32*D35,0))</f>
        <v>5318</v>
      </c>
      <c r="D35" s="1169">
        <f ca="1">IF(C33="自定义",ROUND(C35/C32,3),IF(C33="收益比率",SUMIF(INDIRECT("'"&amp;D33&amp;"'"&amp;"!b:b"),"建筑物收益比率",INDIRECT("'"&amp;D33&amp;"'"&amp;"!c:c")),SUMIF(INDIRECT("'"&amp;D33&amp;"'"&amp;"!b:b"),"建筑物成本比率",INDIRECT("'"&amp;D33&amp;"'"&amp;"!c:c"))))</f>
        <v>0.161</v>
      </c>
      <c r="E35" s="1784" t="s">
        <v>1309</v>
      </c>
      <c r="F35" s="154"/>
      <c r="G35" s="129"/>
      <c r="H35" s="129"/>
      <c r="I35" s="129"/>
    </row>
    <row r="36" spans="1:15" ht="15.75" thickBot="1">
      <c r="A36" s="3638" t="s">
        <v>1310</v>
      </c>
      <c r="B36" s="1785" t="s">
        <v>1311</v>
      </c>
      <c r="C36" s="145"/>
      <c r="D36" s="1786"/>
      <c r="E36" s="1787"/>
      <c r="F36" s="1788"/>
      <c r="G36" s="129"/>
      <c r="H36" s="129"/>
      <c r="I36" s="129"/>
    </row>
    <row r="37" spans="1:15" ht="15.75" thickBot="1">
      <c r="A37" s="3639"/>
      <c r="B37" s="1672" t="s">
        <v>1312</v>
      </c>
      <c r="C37" s="147"/>
      <c r="D37" s="1137"/>
      <c r="E37" s="1137"/>
      <c r="F37" s="1788"/>
      <c r="G37" s="129"/>
      <c r="H37" s="129"/>
      <c r="I37" s="129"/>
    </row>
    <row r="38" spans="1:15" ht="15.75" thickBot="1">
      <c r="A38" s="3640"/>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55" t="s">
        <v>1324</v>
      </c>
      <c r="B45" s="3656"/>
      <c r="C45" s="3657"/>
      <c r="D45" s="155">
        <f ca="1">典型户型修正!S22</f>
        <v>6034</v>
      </c>
      <c r="E45" s="156" t="s">
        <v>1325</v>
      </c>
      <c r="F45" s="157">
        <v>1</v>
      </c>
      <c r="G45" s="158" t="s">
        <v>1326</v>
      </c>
      <c r="H45" s="129"/>
      <c r="I45" s="129"/>
      <c r="J45" s="3576" t="s">
        <v>1327</v>
      </c>
      <c r="K45" s="3576"/>
      <c r="L45" s="3576"/>
      <c r="M45" s="3576"/>
      <c r="N45" s="3576"/>
      <c r="O45" s="3576"/>
    </row>
    <row r="46" spans="1:15" ht="14.25" customHeight="1">
      <c r="A46" s="3652" t="s">
        <v>1328</v>
      </c>
      <c r="B46" s="3653"/>
      <c r="C46" s="3653"/>
      <c r="D46" s="3653"/>
      <c r="E46" s="3653"/>
      <c r="F46" s="3653"/>
      <c r="G46" s="3654"/>
      <c r="H46" s="1804"/>
      <c r="I46" s="159"/>
      <c r="J46" s="2518">
        <v>1</v>
      </c>
      <c r="K46" s="3577" t="s">
        <v>1329</v>
      </c>
      <c r="L46" s="3577"/>
      <c r="M46" s="3578"/>
      <c r="N46" s="3578"/>
      <c r="O46" s="3578"/>
    </row>
    <row r="47" spans="1:15" ht="12" customHeight="1">
      <c r="A47" s="160" t="s">
        <v>1330</v>
      </c>
      <c r="B47" s="161"/>
      <c r="C47" s="162"/>
      <c r="D47" s="1085" t="s">
        <v>1331</v>
      </c>
      <c r="E47" s="302" t="s">
        <v>1332</v>
      </c>
      <c r="F47" s="163" t="s">
        <v>1333</v>
      </c>
      <c r="G47" s="2541" t="s">
        <v>1334</v>
      </c>
      <c r="H47" s="2542"/>
      <c r="I47" s="159"/>
      <c r="J47" s="2518">
        <v>2</v>
      </c>
      <c r="K47" s="3577" t="s">
        <v>1335</v>
      </c>
      <c r="L47" s="3577"/>
      <c r="M47" s="3579">
        <f>'数据-取费表'!B2</f>
        <v>44965</v>
      </c>
      <c r="N47" s="3579"/>
      <c r="O47" s="3579"/>
    </row>
    <row r="48" spans="1:15" ht="25.5">
      <c r="A48" s="3641" t="s">
        <v>1336</v>
      </c>
      <c r="B48" s="3642"/>
      <c r="C48" s="3642"/>
      <c r="D48" s="2322">
        <f ca="1">IF(H48="情况1",0,IF(H48="情况2",D52,IF(H48="情况3",D53,IF(H48="情况4",D54))))</f>
        <v>322</v>
      </c>
      <c r="E48" s="2332" t="str">
        <f>IF(H48="情况4","(销售额-原购置价)×税（费）率","销售额×税（费）率")</f>
        <v>销售额×税（费）率</v>
      </c>
      <c r="F48" s="2543">
        <f>IF(H48="情况1","免征",'数据-取费表'!B41)</f>
        <v>5.6000000000000001E-2</v>
      </c>
      <c r="G48" s="2544" t="s">
        <v>1337</v>
      </c>
      <c r="H48" s="2545" t="s">
        <v>3464</v>
      </c>
      <c r="I48" s="1804"/>
      <c r="J48" s="2518">
        <v>3</v>
      </c>
      <c r="K48" s="3577" t="s">
        <v>1338</v>
      </c>
      <c r="L48" s="3577"/>
      <c r="M48" s="3580">
        <f ca="1">典型户型修正!S22</f>
        <v>6034</v>
      </c>
      <c r="N48" s="3580"/>
      <c r="O48" s="3580"/>
    </row>
    <row r="49" spans="1:35" ht="25.5" customHeight="1">
      <c r="A49" s="2331" t="s">
        <v>1339</v>
      </c>
      <c r="B49" s="3625" t="s">
        <v>1340</v>
      </c>
      <c r="C49" s="3625"/>
      <c r="D49" s="1588">
        <v>0</v>
      </c>
      <c r="E49" s="324" t="s">
        <v>1341</v>
      </c>
      <c r="F49" s="2419" t="s">
        <v>28</v>
      </c>
      <c r="G49" s="3608"/>
      <c r="H49" s="2308" t="s">
        <v>2130</v>
      </c>
      <c r="I49" s="2309"/>
      <c r="J49" s="2518">
        <v>4</v>
      </c>
      <c r="K49" s="3577" t="str">
        <f>IF(项目基本情况!E8="房地产抵押价值","房地产抵押价值","抵押担保权已注销时的房地产抵押价值")</f>
        <v>房地产抵押价值</v>
      </c>
      <c r="L49" s="3577"/>
      <c r="M49" s="3580">
        <f ca="1">M48</f>
        <v>6034</v>
      </c>
      <c r="N49" s="3580"/>
      <c r="O49" s="3580"/>
    </row>
    <row r="50" spans="1:35" ht="25.5" customHeight="1">
      <c r="A50" s="2546"/>
      <c r="B50" s="3625" t="s">
        <v>1342</v>
      </c>
      <c r="C50" s="3625"/>
      <c r="D50" s="2547"/>
      <c r="E50" s="332"/>
      <c r="F50" s="2419"/>
      <c r="G50" s="3609"/>
      <c r="H50" s="2310" t="s">
        <v>2131</v>
      </c>
      <c r="I50" s="2309"/>
      <c r="J50" s="3576" t="s">
        <v>1343</v>
      </c>
      <c r="K50" s="3576"/>
      <c r="L50" s="3576"/>
      <c r="M50" s="3576"/>
      <c r="N50" s="3576"/>
      <c r="O50" s="3576"/>
    </row>
    <row r="51" spans="1:35" ht="20.45" customHeight="1">
      <c r="A51" s="2548"/>
      <c r="B51" s="3625" t="s">
        <v>1344</v>
      </c>
      <c r="C51" s="3625"/>
      <c r="D51" s="1085"/>
      <c r="E51" s="327"/>
      <c r="F51" s="2419"/>
      <c r="G51" s="3610"/>
      <c r="H51" s="2310" t="s">
        <v>2132</v>
      </c>
      <c r="I51" s="2309"/>
      <c r="J51" s="2519" t="s">
        <v>1345</v>
      </c>
      <c r="K51" s="3577" t="s">
        <v>1346</v>
      </c>
      <c r="L51" s="3577"/>
      <c r="M51" s="2519" t="s">
        <v>1347</v>
      </c>
      <c r="N51" s="2519" t="s">
        <v>1348</v>
      </c>
      <c r="O51" s="2519" t="s">
        <v>1349</v>
      </c>
    </row>
    <row r="52" spans="1:35" ht="24" customHeight="1">
      <c r="A52" s="2333" t="s">
        <v>1350</v>
      </c>
      <c r="B52" s="3625" t="s">
        <v>1351</v>
      </c>
      <c r="C52" s="3625"/>
      <c r="D52" s="1085">
        <f ca="1">ROUND(D45*'数据-取费表'!B41/(1+'数据-取费表'!C42),0)</f>
        <v>322</v>
      </c>
      <c r="E52" s="2332" t="s">
        <v>1352</v>
      </c>
      <c r="F52" s="2549">
        <f>'数据-取费表'!B41</f>
        <v>5.6000000000000001E-2</v>
      </c>
      <c r="G52" s="2550"/>
      <c r="H52" s="2539"/>
      <c r="I52" s="1805"/>
      <c r="J52" s="2518">
        <v>1</v>
      </c>
      <c r="K52" s="3602" t="s">
        <v>1353</v>
      </c>
      <c r="L52" s="3602"/>
      <c r="M52" s="2520">
        <f ca="1">D48</f>
        <v>322</v>
      </c>
      <c r="N52" s="2518" t="str">
        <f>E48</f>
        <v>销售额×税（费）率</v>
      </c>
      <c r="O52" s="2521">
        <f>F48</f>
        <v>5.6000000000000001E-2</v>
      </c>
    </row>
    <row r="53" spans="1:35" ht="12" customHeight="1">
      <c r="A53" s="2333" t="s">
        <v>1354</v>
      </c>
      <c r="B53" s="3626" t="s">
        <v>2283</v>
      </c>
      <c r="C53" s="3627"/>
      <c r="D53" s="1085">
        <f ca="1">ROUND(D45*'数据-取费表'!B41/(1+'数据-取费表'!C42),0)</f>
        <v>322</v>
      </c>
      <c r="E53" s="2332" t="s">
        <v>1352</v>
      </c>
      <c r="F53" s="2549">
        <f>'数据-取费表'!B41</f>
        <v>5.6000000000000001E-2</v>
      </c>
      <c r="G53" s="2550"/>
      <c r="H53" s="2539"/>
      <c r="I53" s="1805"/>
      <c r="J53" s="2518">
        <v>2</v>
      </c>
      <c r="K53" s="3602" t="s">
        <v>1355</v>
      </c>
      <c r="L53" s="3602"/>
      <c r="M53" s="2520">
        <f t="shared" ref="M53:O54" ca="1" si="0">D55</f>
        <v>3</v>
      </c>
      <c r="N53" s="2518" t="str">
        <f t="shared" si="0"/>
        <v>销售额×税（费）率</v>
      </c>
      <c r="O53" s="2521">
        <f t="shared" si="0"/>
        <v>5.0000000000000001E-4</v>
      </c>
    </row>
    <row r="54" spans="1:35" ht="12" customHeight="1">
      <c r="A54" s="2333" t="s">
        <v>1356</v>
      </c>
      <c r="B54" s="3626" t="s">
        <v>2284</v>
      </c>
      <c r="C54" s="3627"/>
      <c r="D54" s="1085">
        <f ca="1">C68</f>
        <v>322</v>
      </c>
      <c r="E54" s="327" t="s">
        <v>1357</v>
      </c>
      <c r="F54" s="2549">
        <f>'数据-取费表'!B41</f>
        <v>5.6000000000000001E-2</v>
      </c>
      <c r="G54" s="2550"/>
      <c r="H54" s="2551"/>
      <c r="I54" s="1805"/>
      <c r="J54" s="2518">
        <v>3</v>
      </c>
      <c r="K54" s="3602" t="s">
        <v>1358</v>
      </c>
      <c r="L54" s="3602"/>
      <c r="M54" s="2520">
        <f t="shared" ca="1" si="0"/>
        <v>1042</v>
      </c>
      <c r="N54" s="2518" t="str">
        <f t="shared" si="0"/>
        <v>增值额×税（费）率</v>
      </c>
      <c r="O54" s="2522" t="str">
        <f t="shared" si="0"/>
        <v>——</v>
      </c>
    </row>
    <row r="55" spans="1:35" ht="24" customHeight="1">
      <c r="A55" s="3661" t="s">
        <v>1359</v>
      </c>
      <c r="B55" s="3642"/>
      <c r="C55" s="3642"/>
      <c r="D55" s="2322">
        <f ca="1">IF(H55="个人住宅",0,ROUND(D45*I55,0))</f>
        <v>3</v>
      </c>
      <c r="E55" s="2332" t="s">
        <v>1360</v>
      </c>
      <c r="F55" s="2549">
        <f>IF(H55="正常",I55,"免征")</f>
        <v>5.0000000000000001E-4</v>
      </c>
      <c r="G55" s="2550"/>
      <c r="H55" s="2545" t="s">
        <v>3397</v>
      </c>
      <c r="I55" s="165">
        <f>'数据-取费表'!B49</f>
        <v>5.0000000000000001E-4</v>
      </c>
      <c r="J55" s="2518" t="str">
        <f>IF(H59="非个人房产","",4)</f>
        <v/>
      </c>
      <c r="K55" s="3602" t="str">
        <f>IF(H59="非个人房产","——","个人所得税")</f>
        <v>——</v>
      </c>
      <c r="L55" s="3602"/>
      <c r="M55" s="2523" t="str">
        <f>D59</f>
        <v>——</v>
      </c>
      <c r="N55" s="2038" t="str">
        <f>E59</f>
        <v>——</v>
      </c>
      <c r="O55" s="2524" t="str">
        <f>F59</f>
        <v>——</v>
      </c>
    </row>
    <row r="56" spans="1:35" ht="24.75">
      <c r="A56" s="3661" t="s">
        <v>1361</v>
      </c>
      <c r="B56" s="3642"/>
      <c r="C56" s="3642"/>
      <c r="D56" s="2322">
        <f ca="1">IF(H56="个人住宅",D57,D58)</f>
        <v>1042</v>
      </c>
      <c r="E56" s="2332" t="s">
        <v>1362</v>
      </c>
      <c r="F56" s="2549" t="str">
        <f>IF(H56="正常",F58,"免征")</f>
        <v>——</v>
      </c>
      <c r="G56" s="2552" t="s">
        <v>1363</v>
      </c>
      <c r="H56" s="2553" t="s">
        <v>3397</v>
      </c>
      <c r="I56" s="1806"/>
      <c r="J56" s="2518" t="str">
        <f>IF(项目基本情况!K6="上海银行",IF(J55="",4,J55+1),"")</f>
        <v/>
      </c>
      <c r="K56" s="3583" t="str">
        <f>IF(项目基本情况!K6="上海银行","其他处置费用","")</f>
        <v/>
      </c>
      <c r="L56" s="3584"/>
      <c r="M56" s="2520" t="str">
        <f>IF(项目基本情况!K6="上海银行",M69,"")</f>
        <v/>
      </c>
      <c r="N56" s="3583" t="str">
        <f>IF(项目基本情况!K6="上海银行","包含处置中涉及的律师、诉讼、拍卖、评估等费用","")</f>
        <v/>
      </c>
      <c r="O56" s="3586"/>
    </row>
    <row r="57" spans="1:35" ht="12.75">
      <c r="A57" s="2333" t="s">
        <v>1339</v>
      </c>
      <c r="B57" s="3626" t="s">
        <v>1364</v>
      </c>
      <c r="C57" s="3627"/>
      <c r="D57" s="1588">
        <v>0</v>
      </c>
      <c r="E57" s="324" t="s">
        <v>1341</v>
      </c>
      <c r="F57" s="302"/>
      <c r="G57" s="2550"/>
      <c r="H57" s="2554"/>
      <c r="I57" s="1806"/>
      <c r="J57" s="3602">
        <f>IF(AND(J55="",J56=""),4,IF(项目基本情况!K6="上海银行",结果表!J56+1,结果表!J55+1))</f>
        <v>4</v>
      </c>
      <c r="K57" s="3602" t="s">
        <v>1365</v>
      </c>
      <c r="L57" s="2525" t="s">
        <v>1366</v>
      </c>
      <c r="M57" s="2526"/>
      <c r="N57" s="2527">
        <f ca="1">SUMIF(M52:M56,"&lt;9e307")</f>
        <v>1367</v>
      </c>
      <c r="O57" s="2528"/>
      <c r="P57" s="2684">
        <f ca="1">N57/M49</f>
        <v>0.22654955253563142</v>
      </c>
    </row>
    <row r="58" spans="1:35" ht="24.75">
      <c r="A58" s="2333" t="s">
        <v>1350</v>
      </c>
      <c r="B58" s="3626" t="s">
        <v>1367</v>
      </c>
      <c r="C58" s="3625"/>
      <c r="D58" s="2322">
        <f ca="1">IF(H58="转让取得",C81,C97)</f>
        <v>1042</v>
      </c>
      <c r="E58" s="2332" t="s">
        <v>1362</v>
      </c>
      <c r="F58" s="302" t="s">
        <v>28</v>
      </c>
      <c r="G58" s="2550"/>
      <c r="H58" s="2553" t="s">
        <v>3465</v>
      </c>
      <c r="I58" s="1806"/>
      <c r="J58" s="3602"/>
      <c r="K58" s="3602"/>
      <c r="L58" s="2525" t="s">
        <v>1368</v>
      </c>
      <c r="M58" s="2529"/>
      <c r="N58" s="2530" t="str">
        <f ca="1">NUMBERSTRING(INT(N57*10000),2)&amp;"元整"</f>
        <v>壹仟叁佰陆拾柒万元整</v>
      </c>
      <c r="O58" s="2531"/>
    </row>
    <row r="59" spans="1:35" ht="24.75" thickBot="1">
      <c r="A59" s="3606" t="s">
        <v>1369</v>
      </c>
      <c r="B59" s="3607"/>
      <c r="C59" s="3607"/>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1363</v>
      </c>
      <c r="H59" s="2312" t="s">
        <v>3468</v>
      </c>
      <c r="I59" s="2311" t="s">
        <v>2133</v>
      </c>
      <c r="J59" s="3604">
        <f>J57+1</f>
        <v>5</v>
      </c>
      <c r="K59" s="3602" t="s">
        <v>1370</v>
      </c>
      <c r="L59" s="2518" t="s">
        <v>1366</v>
      </c>
      <c r="M59" s="2532"/>
      <c r="N59" s="2533">
        <f ca="1">M49-N57</f>
        <v>4667</v>
      </c>
      <c r="O59" s="2534"/>
    </row>
    <row r="60" spans="1:35" ht="12" customHeight="1">
      <c r="A60" s="1807"/>
      <c r="B60" s="1745"/>
      <c r="C60" s="1745"/>
      <c r="D60" s="1745"/>
      <c r="E60" s="1576"/>
      <c r="F60" s="1806"/>
      <c r="G60" s="1806"/>
      <c r="H60" s="1808"/>
      <c r="I60" s="129"/>
      <c r="J60" s="3605"/>
      <c r="K60" s="3602"/>
      <c r="L60" s="2525" t="s">
        <v>1368</v>
      </c>
      <c r="M60" s="2529"/>
      <c r="N60" s="2530" t="str">
        <f ca="1">NUMBERSTRING(INT(N59*10000),2)&amp;"元整"</f>
        <v>肆仟陆佰陆拾柒万元整</v>
      </c>
      <c r="O60" s="2531"/>
    </row>
    <row r="61" spans="1:35" ht="13.5" thickBot="1">
      <c r="A61" s="3660" t="s">
        <v>1371</v>
      </c>
      <c r="B61" s="3660"/>
      <c r="C61" s="3660"/>
      <c r="D61" s="3660"/>
      <c r="E61" s="3660"/>
      <c r="F61" s="1806"/>
      <c r="G61" s="1806"/>
      <c r="H61" s="1808"/>
      <c r="I61" s="129"/>
      <c r="J61" s="2518">
        <f>J59+1</f>
        <v>6</v>
      </c>
      <c r="K61" s="3602" t="s">
        <v>1372</v>
      </c>
      <c r="L61" s="3602"/>
      <c r="M61" s="2535"/>
      <c r="N61" s="2536">
        <f ca="1">ROUND(N59*10000/'数据-基础表'!B3,0)</f>
        <v>26466</v>
      </c>
      <c r="O61" s="2537"/>
    </row>
    <row r="62" spans="1:35" ht="12.75">
      <c r="A62" s="3621" t="s">
        <v>1373</v>
      </c>
      <c r="B62" s="3622"/>
      <c r="C62" s="2019"/>
      <c r="D62" s="2019" t="s">
        <v>1374</v>
      </c>
      <c r="E62" s="166" t="s">
        <v>1375</v>
      </c>
      <c r="F62" s="1806"/>
      <c r="G62" s="1806"/>
      <c r="H62" s="1808"/>
      <c r="I62" s="129"/>
    </row>
    <row r="63" spans="1:35" ht="12.75">
      <c r="A63" s="173" t="s">
        <v>330</v>
      </c>
      <c r="B63" s="167" t="s">
        <v>1376</v>
      </c>
      <c r="C63" s="2559">
        <f ca="1">ROUND((C64+C65)/(1+'数据-取费表'!C42),0)</f>
        <v>5747</v>
      </c>
      <c r="D63" s="167"/>
      <c r="E63" s="168"/>
      <c r="F63" s="1806"/>
      <c r="G63" s="1806"/>
      <c r="H63" s="1808"/>
      <c r="I63" s="129"/>
      <c r="J63" s="3585" t="s">
        <v>1377</v>
      </c>
      <c r="K63" s="1330" t="s">
        <v>1378</v>
      </c>
      <c r="L63" s="1330">
        <f ca="1">IF(M49&gt;10000,M49*0.5%,IF(AND(M49&gt;1000,M49&lt;=10000),M49*1%,IF(AND(M49&gt;100,M49&lt;=1000),M49*3%,IF(AND(M49&gt;10,M49&lt;=100),M49*5%,M49*8%))))</f>
        <v>60.34</v>
      </c>
      <c r="M63" s="302">
        <f ca="1">ROUND(L63,1)</f>
        <v>60.3</v>
      </c>
      <c r="N63" s="2538"/>
      <c r="Z63" s="1750"/>
      <c r="AI63" s="1751"/>
    </row>
    <row r="64" spans="1:35" ht="14.25" customHeight="1">
      <c r="A64" s="169" t="s">
        <v>325</v>
      </c>
      <c r="B64" s="170" t="s">
        <v>1379</v>
      </c>
      <c r="C64" s="2560">
        <f ca="1">D45</f>
        <v>6034</v>
      </c>
      <c r="D64" s="170" t="s">
        <v>26</v>
      </c>
      <c r="E64" s="172"/>
      <c r="F64" s="1806"/>
      <c r="G64" s="1806"/>
      <c r="H64" s="1808"/>
      <c r="I64" s="129"/>
      <c r="J64" s="3585"/>
      <c r="K64" s="1330" t="s">
        <v>1380</v>
      </c>
      <c r="L64" s="1330">
        <f ca="1">IF(M49&gt;2000,M49*0.5%,IF(AND(M49&gt;1000,M49&lt;=2000),M49*0.6%,IF(AND(M49&gt;500,M49&lt;=1000),M49*0.7%,IF(AND(M49&gt;200,M49&lt;=500),M49*0.8%,IF(AND(M49&gt;100,M49&lt;=200),M49*0.9%,IF(AND(M49&gt;50,M49&lt;=100),M49*1%,IF(AND(M49&gt;20,M49&lt;=50),M49*1.5%,IF(AND(M49&gt;10,M49&lt;=20),M49*2%,IF(AND(M49&gt;1,M49&lt;=10),M49*2.5%)))))))))</f>
        <v>30.17</v>
      </c>
      <c r="M64" s="302">
        <f t="shared" ref="M64:M65" ca="1" si="1">ROUND(L64,1)</f>
        <v>30.2</v>
      </c>
      <c r="N64" s="2539" t="s">
        <v>1381</v>
      </c>
      <c r="Z64" s="1750"/>
      <c r="AI64" s="1751"/>
    </row>
    <row r="65" spans="1:35" ht="14.25" customHeight="1">
      <c r="A65" s="169" t="s">
        <v>326</v>
      </c>
      <c r="B65" s="170" t="s">
        <v>1382</v>
      </c>
      <c r="C65" s="2561"/>
      <c r="D65" s="170"/>
      <c r="E65" s="172"/>
      <c r="F65" s="1806"/>
      <c r="G65" s="1806"/>
      <c r="H65" s="1808"/>
      <c r="I65" s="129"/>
      <c r="J65" s="3585"/>
      <c r="K65" s="1330" t="s">
        <v>1383</v>
      </c>
      <c r="L65" s="1330">
        <f ca="1">IF(M49&gt;1000,M49*0.1%,IF(AND(M49&gt;500,M49&lt;=1000),M49*0.5%,IF(AND(M49&gt;50,M49&lt;=500),M49*1%,IF(AND(M49&gt;1,M49&lt;=50),M49*1.5%))))</f>
        <v>6.0339999999999998</v>
      </c>
      <c r="M65" s="302">
        <f t="shared" ca="1" si="1"/>
        <v>6</v>
      </c>
      <c r="N65" s="2539" t="s">
        <v>1381</v>
      </c>
      <c r="Z65" s="1750"/>
      <c r="AI65" s="1751"/>
    </row>
    <row r="66" spans="1:35" ht="14.25" customHeight="1">
      <c r="A66" s="173" t="s">
        <v>327</v>
      </c>
      <c r="B66" s="174" t="s">
        <v>1384</v>
      </c>
      <c r="C66" s="2562"/>
      <c r="D66" s="174" t="s">
        <v>26</v>
      </c>
      <c r="E66" s="1336" t="s">
        <v>671</v>
      </c>
      <c r="F66" s="1806"/>
      <c r="G66" s="1806"/>
      <c r="H66" s="1808"/>
      <c r="I66" s="129"/>
      <c r="J66" s="3585"/>
      <c r="K66" s="1330" t="s">
        <v>1385</v>
      </c>
      <c r="L66" s="1330">
        <f ca="1">M49*0.5%</f>
        <v>30.17</v>
      </c>
      <c r="M66" s="302">
        <f ca="1">IF(L66&gt;0.5,0.5,ROUND(L66,0))</f>
        <v>0.5</v>
      </c>
      <c r="N66" s="2539" t="s">
        <v>1386</v>
      </c>
      <c r="Z66" s="1750"/>
      <c r="AI66" s="1751"/>
    </row>
    <row r="67" spans="1:35" ht="14.25" customHeight="1">
      <c r="A67" s="173" t="s">
        <v>328</v>
      </c>
      <c r="B67" s="174" t="s">
        <v>1387</v>
      </c>
      <c r="C67" s="2563">
        <f ca="1">C63-C66</f>
        <v>5747</v>
      </c>
      <c r="D67" s="170" t="s">
        <v>26</v>
      </c>
      <c r="E67" s="172"/>
      <c r="F67" s="1806"/>
      <c r="G67" s="1806"/>
      <c r="H67" s="1808"/>
      <c r="I67" s="129"/>
      <c r="J67" s="3585"/>
      <c r="K67" s="1330" t="s">
        <v>1388</v>
      </c>
      <c r="L67" s="1330">
        <f ca="1">IF(M49&gt;=10000,(8.25+(M49-10000)*0.01%),IF(AND(M49&gt;=8000,M49&lt;10000),(7.85+(M49-8000)*0.02%),IF(AND(M49&gt;=5000,M49&lt;8000),(6.65+(M49-5000)*0.04%),IF(AND(M49&gt;=2000,M49&lt;5000),(4.25+(PM49-2000)*0.08%),IF(AND(M49&gt;=1000,M49&lt;2000),(2.75+(M49-1000)*0.15%),IF(AND(M49&gt;=100,M49&lt;1000),(0.5+(M49-100)*0.25%),IF(AND(M49&gt;0,M49&lt;100),M49*0.5%)))))))</f>
        <v>7.0636000000000001</v>
      </c>
      <c r="M67" s="302">
        <f ca="1">ROUND(L67*0.9,1)</f>
        <v>6.4</v>
      </c>
      <c r="N67" s="2538"/>
      <c r="Z67" s="1750"/>
      <c r="AI67" s="1751"/>
    </row>
    <row r="68" spans="1:35" ht="14.25" customHeight="1" thickBot="1">
      <c r="A68" s="176" t="s">
        <v>329</v>
      </c>
      <c r="B68" s="177" t="s">
        <v>1389</v>
      </c>
      <c r="C68" s="2564">
        <f ca="1">IF(C67&lt;=0,0,ROUND(C67*D68,0))</f>
        <v>322</v>
      </c>
      <c r="D68" s="2565">
        <f>'数据-取费表'!B41</f>
        <v>5.6000000000000001E-2</v>
      </c>
      <c r="E68" s="178"/>
      <c r="F68" s="1806"/>
      <c r="G68" s="1806"/>
      <c r="H68" s="1808"/>
      <c r="I68" s="129"/>
      <c r="J68" s="3585"/>
      <c r="K68" s="1330" t="s">
        <v>1390</v>
      </c>
      <c r="L68" s="1330">
        <f ca="1">IF(M49&gt;10000,M49*0.5%,IF(AND(M49&gt;5000,M49&lt;=10000),M49*1%,IF(AND(M49&gt;1000,M49&lt;=5000),M49*2%,IF(AND(M49&gt;200,M49&lt;=1000),M49*3%,M49*5%))))</f>
        <v>60.34</v>
      </c>
      <c r="M68" s="302">
        <f ca="1">ROUND(L68,1)</f>
        <v>60.3</v>
      </c>
      <c r="N68" s="2538"/>
      <c r="Z68" s="1750"/>
      <c r="AI68" s="1751"/>
    </row>
    <row r="69" spans="1:35" s="1770" customFormat="1" ht="16.5" customHeight="1">
      <c r="A69" s="1809"/>
      <c r="B69" s="1810"/>
      <c r="C69" s="1811"/>
      <c r="D69" s="1812"/>
      <c r="E69" s="1813"/>
      <c r="F69" s="1576"/>
      <c r="G69" s="1576"/>
      <c r="H69" s="1575"/>
      <c r="I69" s="1745"/>
      <c r="J69" s="3585"/>
      <c r="K69" s="1330" t="s">
        <v>1391</v>
      </c>
      <c r="L69" s="1330"/>
      <c r="M69" s="302">
        <f ca="1">ROUND(SUM(M63:M68),0)</f>
        <v>164</v>
      </c>
      <c r="N69" s="2540">
        <f ca="1">M69/M49</f>
        <v>2.7179317202519059E-2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29" t="s">
        <v>1392</v>
      </c>
      <c r="B70" s="3630"/>
      <c r="C70" s="3630"/>
      <c r="D70" s="3630"/>
      <c r="E70" s="3630"/>
      <c r="F70" s="3630"/>
      <c r="G70" s="3630"/>
      <c r="H70" s="363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1" t="s">
        <v>1373</v>
      </c>
      <c r="B71" s="3622"/>
      <c r="C71" s="2019"/>
      <c r="D71" s="2019" t="s">
        <v>1374</v>
      </c>
      <c r="E71" s="179" t="s">
        <v>1375</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3">
        <f ca="1">ROUND(D45/(1+'数据-取费表'!C42),0)</f>
        <v>5747</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3">
        <f ca="1">C74+C78</f>
        <v>34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6"/>
      <c r="D75" s="170" t="s">
        <v>26</v>
      </c>
      <c r="E75" s="184" t="s">
        <v>1397</v>
      </c>
      <c r="F75" s="2567"/>
      <c r="G75" s="184" t="s">
        <v>1398</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9">
        <v>0.05</v>
      </c>
      <c r="E76" s="3626" t="s">
        <v>1400</v>
      </c>
      <c r="F76" s="3625"/>
      <c r="G76" s="3625"/>
      <c r="H76" s="362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0">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1">
        <f ca="1">ROUND(D45*D78/(1+'数据-取费表'!C42),0)</f>
        <v>34</v>
      </c>
      <c r="D78" s="2572">
        <f>'数据-取费表'!B43</f>
        <v>6.000000000000001E-3</v>
      </c>
      <c r="E78" s="3618" t="s">
        <v>1404</v>
      </c>
      <c r="F78" s="3619"/>
      <c r="G78" s="3619"/>
      <c r="H78" s="362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3">
        <f ca="1">C72-C73</f>
        <v>5713</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3">
        <f ca="1">IF(C79&lt;=0,0,C79/C73)</f>
        <v>168.02941176470588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4">
        <f ca="1">ROUND(IF(C79&lt;=0,0,IF(C80&gt;=200%,C79*60%-C73*35%,IF(C80&gt;=100%,C79*50%-C73*15%,IF(C80&gt;=50%,C79*40%-C73*5%,IF(C80&lt;50%,C79*30%,0))))),0)</f>
        <v>3416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9" t="s">
        <v>1408</v>
      </c>
      <c r="B83" s="3630"/>
      <c r="C83" s="3630"/>
      <c r="D83" s="3630"/>
      <c r="E83" s="3630"/>
      <c r="F83" s="3630"/>
      <c r="G83" s="3630"/>
      <c r="H83" s="363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1" t="s">
        <v>1373</v>
      </c>
      <c r="B84" s="3622"/>
      <c r="C84" s="2019"/>
      <c r="D84" s="2019" t="s">
        <v>1374</v>
      </c>
      <c r="E84" s="179" t="s">
        <v>1375</v>
      </c>
      <c r="F84" s="180"/>
      <c r="G84" s="180"/>
      <c r="H84" s="191"/>
      <c r="I84" s="1819"/>
      <c r="J84" s="1816"/>
      <c r="K84" s="1816">
        <f>'数据-基础表'!B3</f>
        <v>1763.4099999999999</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3">
        <f ca="1">ROUND(D45/(1+'数据-取费表'!C42),0)</f>
        <v>5747</v>
      </c>
      <c r="D85" s="170" t="s">
        <v>26</v>
      </c>
      <c r="E85" s="2329"/>
      <c r="F85" s="2328"/>
      <c r="G85" s="2328"/>
      <c r="H85" s="192"/>
      <c r="I85" s="1819"/>
      <c r="J85" s="1816"/>
      <c r="K85" s="2685">
        <v>11899.22</v>
      </c>
      <c r="L85" s="3457">
        <f ca="1">'收益法 (元)'!C19/'收益法 (元)'!F7</f>
        <v>4171.000489712158</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3">
        <f ca="1">IF(H88="仅含出让金",C87+C90+C91+C92+C93+C94,C87+C91+C92+C93+C94)</f>
        <v>2817</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1">
        <f ca="1">C88+C89</f>
        <v>1405</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7">
        <f ca="1">ROUND((K85-L85)*K84/10000,0)</f>
        <v>1363</v>
      </c>
      <c r="D88" s="2572"/>
      <c r="E88" s="193" t="s">
        <v>1411</v>
      </c>
      <c r="F88" s="2325"/>
      <c r="G88" s="194" t="s">
        <v>1412</v>
      </c>
      <c r="H88" s="1822" t="s">
        <v>3466</v>
      </c>
      <c r="I88" s="1819"/>
      <c r="J88" s="2516"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1">
        <f ca="1">ROUND(C88*D89,0)</f>
        <v>42</v>
      </c>
      <c r="D89" s="2572">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7"/>
      <c r="D90" s="2572"/>
      <c r="E90" s="193" t="str">
        <f>IF(H88="-","土地取得成本中已包含该笔费用"," ")</f>
        <v xml:space="preserve"> </v>
      </c>
      <c r="F90" s="2325"/>
      <c r="G90" s="3587" t="s">
        <v>2125</v>
      </c>
      <c r="H90" s="3588"/>
      <c r="I90" s="1819"/>
      <c r="J90" s="2516"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1">
        <f ca="1">IF(H91="——",成本法!C33,I91)</f>
        <v>736</v>
      </c>
      <c r="D91" s="2572"/>
      <c r="E91" s="3618" t="s">
        <v>1417</v>
      </c>
      <c r="F91" s="3619"/>
      <c r="G91" s="3619"/>
      <c r="H91" s="1823" t="s">
        <v>3467</v>
      </c>
      <c r="I91" s="1824">
        <f ca="1">ROUND(K84*L85/10000,0)</f>
        <v>736</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1">
        <f ca="1">ROUND((C87+C90+C91)*D92,0)</f>
        <v>214</v>
      </c>
      <c r="D92" s="2578">
        <v>0.1</v>
      </c>
      <c r="E92" s="3618" t="s">
        <v>1420</v>
      </c>
      <c r="F92" s="3619"/>
      <c r="G92" s="3619"/>
      <c r="H92" s="3620"/>
      <c r="I92" s="1819"/>
      <c r="J92" s="2517"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1">
        <f ca="1">ROUND(D45*D93/(1+'数据-取费表'!C42),0)</f>
        <v>34</v>
      </c>
      <c r="D93" s="2572">
        <f>'数据-取费表'!B43</f>
        <v>6.000000000000001E-3</v>
      </c>
      <c r="E93" s="3618" t="s">
        <v>1404</v>
      </c>
      <c r="F93" s="3619"/>
      <c r="G93" s="3619"/>
      <c r="H93" s="362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7">
        <f ca="1">ROUND((C87+C90+C91)*D94,0)</f>
        <v>428</v>
      </c>
      <c r="D94" s="2572">
        <v>0.2</v>
      </c>
      <c r="E94" s="3662" t="s">
        <v>1424</v>
      </c>
      <c r="F94" s="3663"/>
      <c r="G94" s="3663"/>
      <c r="H94" s="366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3">
        <f ca="1">ROUND(C85-C86,0)</f>
        <v>2930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3">
        <f ca="1">IF(C95&lt;=0,0,C95/C86)</f>
        <v>1.0401135960241392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4">
        <f ca="1">ROUND(IF(C95&lt;=0,0,IF(C96&gt;=200%,C95*60%-C86*35%,IF(C96&gt;=100%,C95*50%-C86*15%,IF(C96&gt;=50%,C95*40%-C86*5%,IF(C96&lt;50%,C95*30%,0))))),0)</f>
        <v>1042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6" t="s">
        <v>1426</v>
      </c>
      <c r="B100" s="3557"/>
      <c r="C100" s="3557"/>
      <c r="D100" s="3603"/>
      <c r="E100" s="3557" t="s">
        <v>1427</v>
      </c>
      <c r="F100" s="3557"/>
      <c r="G100" s="3557"/>
      <c r="H100" s="3603"/>
      <c r="I100" s="129"/>
    </row>
    <row r="101" spans="1:35" ht="18.75" customHeight="1">
      <c r="A101" s="3611" t="s">
        <v>1428</v>
      </c>
      <c r="B101" s="3612"/>
      <c r="C101" s="2580" t="str">
        <f>C4</f>
        <v>比较法-办公</v>
      </c>
      <c r="D101" s="2581" t="str">
        <f>D4</f>
        <v>收益法 (元)</v>
      </c>
      <c r="E101" s="3581" t="s">
        <v>1429</v>
      </c>
      <c r="F101" s="3582"/>
      <c r="G101" s="1825" t="s">
        <v>1430</v>
      </c>
      <c r="H101" s="2590">
        <f ca="1">H118</f>
        <v>4249</v>
      </c>
      <c r="I101" s="129"/>
    </row>
    <row r="102" spans="1:35" ht="18.75" customHeight="1">
      <c r="A102" s="3613" t="s">
        <v>1431</v>
      </c>
      <c r="B102" s="2579" t="s">
        <v>1430</v>
      </c>
      <c r="C102" s="2580">
        <f ca="1">IF(D32="楼面单价",ROUND(C19,0),C19)</f>
        <v>4659</v>
      </c>
      <c r="D102" s="2581">
        <f ca="1">IF(D32="楼面单价",ROUND(D19,0),D19)</f>
        <v>3840</v>
      </c>
      <c r="E102" s="3581"/>
      <c r="F102" s="3582"/>
      <c r="G102" s="1825" t="s">
        <v>1432</v>
      </c>
      <c r="H102" s="2550">
        <f ca="1">I118</f>
        <v>33032</v>
      </c>
      <c r="I102" s="129"/>
    </row>
    <row r="103" spans="1:35" ht="42.75" customHeight="1">
      <c r="A103" s="3613"/>
      <c r="B103" s="2579" t="s">
        <v>1432</v>
      </c>
      <c r="C103" s="2582">
        <f ca="1">C20</f>
        <v>36218</v>
      </c>
      <c r="D103" s="2583">
        <f ca="1">D20</f>
        <v>29845</v>
      </c>
      <c r="E103" s="3574" t="s">
        <v>1433</v>
      </c>
      <c r="F103" s="3575"/>
      <c r="G103" s="1826" t="s">
        <v>1434</v>
      </c>
      <c r="H103" s="2590">
        <f>IF(D36="正常操作",H104+H105+H106,H105+H106)</f>
        <v>0</v>
      </c>
      <c r="I103" s="129"/>
    </row>
    <row r="104" spans="1:35" ht="18.75" customHeight="1">
      <c r="A104" s="3613" t="s">
        <v>1435</v>
      </c>
      <c r="B104" s="2584" t="s">
        <v>1430</v>
      </c>
      <c r="C104" s="2585">
        <f ca="1">H118</f>
        <v>4249</v>
      </c>
      <c r="D104" s="2586"/>
      <c r="E104" s="1672" t="s">
        <v>1436</v>
      </c>
      <c r="F104" s="1664"/>
      <c r="G104" s="1826" t="s">
        <v>1434</v>
      </c>
      <c r="H104" s="2591">
        <f>IF(D36="同一抵押权人同一抵押物续贷",C36&amp;"（续贷，未扣减，详见特别提示）",C36)</f>
        <v>0</v>
      </c>
      <c r="I104" s="129"/>
    </row>
    <row r="105" spans="1:35" ht="18.75" customHeight="1" thickBot="1">
      <c r="A105" s="3623"/>
      <c r="B105" s="2587" t="s">
        <v>1432</v>
      </c>
      <c r="C105" s="2588">
        <f ca="1">I118</f>
        <v>33032</v>
      </c>
      <c r="D105" s="2589"/>
      <c r="E105" s="1672" t="s">
        <v>1437</v>
      </c>
      <c r="F105" s="1664"/>
      <c r="G105" s="1826" t="s">
        <v>1434</v>
      </c>
      <c r="H105" s="2592">
        <f>C37</f>
        <v>0</v>
      </c>
      <c r="I105" s="129"/>
    </row>
    <row r="106" spans="1:35" ht="18.75" customHeight="1">
      <c r="A106" s="1745" t="s">
        <v>1438</v>
      </c>
      <c r="B106" s="1745"/>
      <c r="C106" s="1745"/>
      <c r="D106" s="1745"/>
      <c r="E106" s="1827" t="s">
        <v>1439</v>
      </c>
      <c r="F106" s="1664"/>
      <c r="G106" s="1826" t="s">
        <v>1434</v>
      </c>
      <c r="H106" s="2592">
        <f>C38</f>
        <v>0</v>
      </c>
      <c r="I106" s="129"/>
    </row>
    <row r="107" spans="1:35" ht="18.75" customHeight="1">
      <c r="A107" s="129"/>
      <c r="B107" s="129"/>
      <c r="C107" s="129"/>
      <c r="D107" s="129"/>
      <c r="E107" s="3614" t="str">
        <f>IF(项目基本情况!E8="已注销","——","3.房地产抵押价值")</f>
        <v>3.房地产抵押价值</v>
      </c>
      <c r="F107" s="3582"/>
      <c r="G107" s="1825" t="s">
        <v>1430</v>
      </c>
      <c r="H107" s="2590">
        <f ca="1">IF(E107="——","——",H101-H103)</f>
        <v>4249</v>
      </c>
      <c r="I107" s="129"/>
    </row>
    <row r="108" spans="1:35" ht="18.75" customHeight="1">
      <c r="A108" s="129"/>
      <c r="B108" s="129"/>
      <c r="C108" s="129"/>
      <c r="D108" s="129"/>
      <c r="E108" s="3614"/>
      <c r="F108" s="3582"/>
      <c r="G108" s="1825" t="s">
        <v>1432</v>
      </c>
      <c r="H108" s="2550">
        <f ca="1">IF(H107=H101,H102,ROUND(H107*10000/'数据-汇总表'!E3,0))</f>
        <v>33032</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5" t="s">
        <v>1430</v>
      </c>
      <c r="H109" s="2593" t="str">
        <f>IF(E109="——","——",H101-H105-H106)</f>
        <v>——</v>
      </c>
      <c r="I109" s="129"/>
    </row>
    <row r="110" spans="1:35" ht="18.75" customHeight="1">
      <c r="A110" s="129"/>
      <c r="B110" s="129"/>
      <c r="C110" s="129"/>
      <c r="D110" s="129"/>
      <c r="E110" s="3614"/>
      <c r="F110" s="3582"/>
      <c r="G110" s="1825" t="s">
        <v>1432</v>
      </c>
      <c r="H110" s="2550"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5" t="s">
        <v>1430</v>
      </c>
      <c r="H111" s="2590" t="str">
        <f>IF(E111="——","——",N59)</f>
        <v>——</v>
      </c>
      <c r="I111" s="129"/>
    </row>
    <row r="112" spans="1:35" ht="18.75" customHeight="1" thickBot="1">
      <c r="A112" s="129"/>
      <c r="B112" s="129"/>
      <c r="C112" s="129"/>
      <c r="D112" s="129"/>
      <c r="E112" s="3616"/>
      <c r="F112" s="3617"/>
      <c r="G112" s="1828" t="s">
        <v>1432</v>
      </c>
      <c r="H112" s="2594" t="str">
        <f>IF(E111="——","——",N61)</f>
        <v>——</v>
      </c>
      <c r="I112" s="129"/>
    </row>
    <row r="113" spans="1:27" ht="18.75" customHeight="1">
      <c r="A113" s="129"/>
      <c r="B113" s="129"/>
      <c r="C113" s="129"/>
      <c r="D113" s="129"/>
      <c r="E113" s="3624" t="s">
        <v>1438</v>
      </c>
      <c r="F113" s="3624"/>
      <c r="G113" s="3624"/>
      <c r="H113" s="3624"/>
      <c r="I113" s="129"/>
    </row>
    <row r="114" spans="1:27" ht="3.75" customHeight="1">
      <c r="A114" s="1745"/>
      <c r="B114" s="1745"/>
      <c r="C114" s="1745"/>
      <c r="D114" s="1745"/>
      <c r="E114" s="1807"/>
      <c r="F114" s="1807"/>
      <c r="G114" s="1807"/>
      <c r="H114" s="1807"/>
      <c r="I114" s="1745"/>
    </row>
    <row r="115" spans="1:27" ht="18.75" customHeight="1">
      <c r="A115" s="3632" t="s">
        <v>1440</v>
      </c>
      <c r="B115" s="3633"/>
      <c r="C115" s="3633"/>
      <c r="D115" s="3633"/>
      <c r="E115" s="3633"/>
      <c r="F115" s="3633"/>
      <c r="G115" s="3633"/>
      <c r="H115" s="3633"/>
      <c r="I115" s="3634"/>
    </row>
    <row r="116" spans="1:27" ht="27" customHeight="1">
      <c r="A116" s="3589" t="s">
        <v>1441</v>
      </c>
      <c r="B116" s="3593" t="s">
        <v>1442</v>
      </c>
      <c r="C116" s="3593" t="s">
        <v>1443</v>
      </c>
      <c r="D116" s="3599" t="s">
        <v>1444</v>
      </c>
      <c r="E116" s="3600"/>
      <c r="F116" s="3631" t="s">
        <v>1445</v>
      </c>
      <c r="G116" s="3631"/>
      <c r="H116" s="3589" t="s">
        <v>1446</v>
      </c>
      <c r="I116" s="3589"/>
    </row>
    <row r="117" spans="1:27" ht="18.75" customHeight="1">
      <c r="A117" s="3589"/>
      <c r="B117" s="3594"/>
      <c r="C117" s="3594"/>
      <c r="D117" s="2327" t="s">
        <v>1447</v>
      </c>
      <c r="E117" s="2327" t="s">
        <v>1448</v>
      </c>
      <c r="F117" s="2327" t="s">
        <v>1447</v>
      </c>
      <c r="G117" s="2327" t="s">
        <v>1449</v>
      </c>
      <c r="H117" s="2327" t="s">
        <v>1447</v>
      </c>
      <c r="I117" s="2327" t="s">
        <v>1449</v>
      </c>
    </row>
    <row r="118" spans="1:27" ht="24.75" customHeight="1">
      <c r="A118" s="2595" t="str">
        <f>项目基本情况!S2</f>
        <v>北京市朝阳区朝阳门外大街18号房地产</v>
      </c>
      <c r="B118" s="2327">
        <f>M18</f>
        <v>1286.47</v>
      </c>
      <c r="C118" s="2327">
        <f>M19</f>
        <v>147.41999999999999</v>
      </c>
      <c r="D118" s="2327">
        <f ca="1">ROUND(IF(D32="总价",C34,E118*B118/10000),0)</f>
        <v>3565</v>
      </c>
      <c r="E118" s="2327">
        <f ca="1">ROUND(IF(C33="自定义",IF(D32="楼面单价",C34,D118*10000/B118),I118-G118),0)</f>
        <v>27714</v>
      </c>
      <c r="F118" s="2327">
        <f ca="1">ROUND(IF(D32="总价",C35,G118*B118/10000),0)</f>
        <v>684</v>
      </c>
      <c r="G118" s="2327">
        <f ca="1">ROUND(IF(D32="楼面单价",C35,F118*10000/B118),0)</f>
        <v>5318</v>
      </c>
      <c r="H118" s="2327">
        <f ca="1">ROUND(IF(D32="总价",C32,I118*B118/10000),0)</f>
        <v>4249</v>
      </c>
      <c r="I118" s="2327">
        <f ca="1">ROUND(IF(D32="楼面单价",C32,H118*10000/B118),0)</f>
        <v>33032</v>
      </c>
      <c r="J118" s="723">
        <f>[3]结果表!$I$118</f>
        <v>22676</v>
      </c>
    </row>
    <row r="119" spans="1:27" ht="18.75" customHeight="1">
      <c r="A119" s="3589" t="s">
        <v>1450</v>
      </c>
      <c r="B119" s="3589"/>
      <c r="C119" s="3589"/>
      <c r="D119" s="3595" t="str">
        <f ca="1">NUMBERSTRING(INT(D118*10000),2)&amp;"元整"</f>
        <v>叁仟伍佰陆拾伍万元整</v>
      </c>
      <c r="E119" s="3596"/>
      <c r="F119" s="3595" t="str">
        <f ca="1">NUMBERSTRING(INT(F118*10000),2)&amp;"元整"</f>
        <v>陆佰捌拾肆万元整</v>
      </c>
      <c r="G119" s="3596"/>
      <c r="H119" s="3595" t="str">
        <f ca="1">NUMBERSTRING(INT(H118*10000),2)&amp;"元整"</f>
        <v>肆仟贰佰肆拾玖万元整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5" t="s">
        <v>1450</v>
      </c>
      <c r="B121" s="3597"/>
      <c r="C121" s="3596"/>
      <c r="D121" s="3595" t="str">
        <f>IF(D120=0,"零元整",NUMBERSTRING(INT(D120*10000),2)&amp;"元整")</f>
        <v>零元整</v>
      </c>
      <c r="E121" s="3597"/>
      <c r="F121" s="3597"/>
      <c r="G121" s="3597"/>
      <c r="H121" s="3597"/>
      <c r="I121" s="3596"/>
      <c r="AA121" s="723"/>
    </row>
    <row r="122" spans="1:27" ht="18.75" customHeight="1">
      <c r="A122" s="3601" t="str">
        <f>IF(项目基本情况!B9="房地产市场价值","",MID(E107,3,LEN(E107)-2))</f>
        <v>房地产抵押价值</v>
      </c>
      <c r="B122" s="3601"/>
      <c r="C122" s="3601"/>
      <c r="D122" s="3590">
        <f ca="1">H107</f>
        <v>4249</v>
      </c>
      <c r="E122" s="3591"/>
      <c r="F122" s="3591"/>
      <c r="G122" s="3591"/>
      <c r="H122" s="3591"/>
      <c r="I122" s="3592"/>
      <c r="AA122" s="723"/>
    </row>
    <row r="123" spans="1:27" ht="18.75" customHeight="1">
      <c r="A123" s="3589" t="s">
        <v>1450</v>
      </c>
      <c r="B123" s="3589"/>
      <c r="C123" s="3589"/>
      <c r="D123" s="3595" t="str">
        <f ca="1">NUMBERSTRING(INT(D122*10000),2)&amp;"元整"</f>
        <v>肆仟贰佰肆拾玖万元整</v>
      </c>
      <c r="E123" s="3597"/>
      <c r="F123" s="3597"/>
      <c r="G123" s="3597"/>
      <c r="H123" s="3597"/>
      <c r="I123" s="3596"/>
      <c r="AA123" s="723"/>
    </row>
    <row r="124" spans="1:27" ht="18.75" customHeight="1">
      <c r="A124" s="3601" t="str">
        <f>IF(项目基本情况!B9="房地产市场价值","",MID(E109,3,LEN(E109)-2))</f>
        <v/>
      </c>
      <c r="B124" s="3601"/>
      <c r="C124" s="3601"/>
      <c r="D124" s="3590" t="str">
        <f>H109</f>
        <v>——</v>
      </c>
      <c r="E124" s="3591"/>
      <c r="F124" s="3591"/>
      <c r="G124" s="3591"/>
      <c r="H124" s="3591"/>
      <c r="I124" s="3592"/>
      <c r="AA124" s="723"/>
    </row>
    <row r="125" spans="1:27" ht="18.75" customHeight="1">
      <c r="A125" s="3589" t="s">
        <v>1450</v>
      </c>
      <c r="B125" s="3589"/>
      <c r="C125" s="3589"/>
      <c r="D125" s="3595" t="e">
        <f>NUMBERSTRING(INT(D124*10000),2)&amp;"元整"</f>
        <v>#VALUE!</v>
      </c>
      <c r="E125" s="3597"/>
      <c r="F125" s="3597"/>
      <c r="G125" s="3597"/>
      <c r="H125" s="3597"/>
      <c r="I125" s="3596"/>
      <c r="AA125" s="723"/>
    </row>
    <row r="126" spans="1:27" ht="18.75" customHeight="1">
      <c r="A126" s="3601" t="str">
        <f>IF(项目基本情况!B9="房地产市场价值","",MID(E111,3,LEN(E111)-2))</f>
        <v/>
      </c>
      <c r="B126" s="3601"/>
      <c r="C126" s="3601"/>
      <c r="D126" s="3590" t="str">
        <f>H111</f>
        <v>——</v>
      </c>
      <c r="E126" s="3591"/>
      <c r="F126" s="3591"/>
      <c r="G126" s="3591"/>
      <c r="H126" s="3591"/>
      <c r="I126" s="3592"/>
      <c r="AA126" s="723"/>
    </row>
    <row r="127" spans="1:27" ht="18.75" customHeight="1">
      <c r="A127" s="3589" t="s">
        <v>1450</v>
      </c>
      <c r="B127" s="3589"/>
      <c r="C127" s="3589"/>
      <c r="D127" s="3595" t="e">
        <f>NUMBERSTRING(INT(D126*10000),2)&amp;"元整"</f>
        <v>#VALUE!</v>
      </c>
      <c r="E127" s="3597"/>
      <c r="F127" s="3597"/>
      <c r="G127" s="3597"/>
      <c r="H127" s="3597"/>
      <c r="I127" s="3596"/>
      <c r="AA127" s="723"/>
    </row>
    <row r="128" spans="1:27" ht="21.75" customHeight="1">
      <c r="A128" s="3598" t="s">
        <v>1451</v>
      </c>
      <c r="B128" s="3598"/>
      <c r="C128" s="3598"/>
      <c r="D128" s="3598"/>
      <c r="E128" s="3598"/>
      <c r="F128" s="3598"/>
      <c r="G128" s="3598"/>
      <c r="H128" s="3598"/>
      <c r="I128" s="3598"/>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3" t="str">
        <f>项目基本情况!B1</f>
        <v>北京市朝阳区朝阳门外大街18号房地产抵押价值预评估</v>
      </c>
      <c r="C37" s="3473"/>
      <c r="D37" s="3473"/>
      <c r="E37" s="3473"/>
      <c r="F37" s="3473"/>
      <c r="G37" s="3473"/>
      <c r="H37" s="3473"/>
      <c r="I37" s="3473"/>
    </row>
    <row r="38" spans="1:9">
      <c r="A38" s="842"/>
      <c r="B38" s="842"/>
    </row>
    <row r="39" spans="1:9">
      <c r="A39" s="840" t="s">
        <v>371</v>
      </c>
      <c r="B39" s="840" t="s">
        <v>373</v>
      </c>
    </row>
    <row r="40" spans="1:9">
      <c r="A40" s="840"/>
      <c r="B40" s="1472" t="str">
        <f>项目基本情况!B5</f>
        <v>华夏银行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559</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4345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26</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26</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26</v>
      </c>
      <c r="D10" s="843">
        <f ca="1">IF(B1="",'数据-汇总表'!E6,IF(INDIRECT("'数据-取费表'!c"&amp;$G$1)="住宅",INDIRECT("'数据-取费表'!s"&amp;$G$1),INDIRECT("'数据-取费表'!k"&amp;$G$1)+INDIRECT("'数据-取费表'!s"&amp;$G$1)))</f>
        <v>1286.47</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26</v>
      </c>
      <c r="D19" s="847">
        <f ca="1">D9+D10</f>
        <v>1286.47</v>
      </c>
      <c r="E19" s="211">
        <f>'数据-取费表'!B31</f>
        <v>200</v>
      </c>
      <c r="F19" s="231"/>
      <c r="G19" s="1854"/>
    </row>
    <row r="20" spans="1:7" s="214" customFormat="1" ht="13.5" customHeight="1">
      <c r="A20" s="255" t="s">
        <v>1491</v>
      </c>
      <c r="B20" s="210" t="s">
        <v>1492</v>
      </c>
      <c r="C20" s="232">
        <f ca="1">ROUND((C5+C19)*F20,0)</f>
        <v>1</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2">
        <f ca="1">ROUND(SUM(C23:C25),0)</f>
        <v>4</v>
      </c>
      <c r="D22" s="235">
        <f ca="1">C26</f>
        <v>5.9999999999999995E-4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2</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2</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8</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8</v>
      </c>
      <c r="D28" s="235"/>
      <c r="E28" s="236"/>
      <c r="F28" s="246"/>
      <c r="G28" s="247"/>
    </row>
    <row r="29" spans="1:7" s="214" customFormat="1" ht="13.5" customHeight="1">
      <c r="A29" s="778" t="s">
        <v>347</v>
      </c>
      <c r="B29" s="248" t="s">
        <v>1515</v>
      </c>
      <c r="C29" s="238">
        <f ca="1">ROUND(C21*F27*'数据-取费表'!B21/'数据-取费表'!B20,4)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70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537</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489</v>
      </c>
      <c r="D34" s="217"/>
      <c r="E34" s="220"/>
      <c r="F34" s="257">
        <f ca="1">IF('数据-取费表'!B24=0,1,IF(B1="",'数据-取费表'!N16,INDIRECT("'数据-取费表'!n"&amp;$G$1)))</f>
        <v>1</v>
      </c>
      <c r="G34" s="219" t="s">
        <v>1524</v>
      </c>
    </row>
    <row r="35" spans="1:7" ht="13.5" customHeight="1">
      <c r="A35" s="778" t="s">
        <v>351</v>
      </c>
      <c r="B35" s="215" t="s">
        <v>1525</v>
      </c>
      <c r="C35" s="220">
        <f ca="1">ROUND(C34*F35,0)</f>
        <v>15</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26</v>
      </c>
      <c r="D37" s="217">
        <f ca="1">D19</f>
        <v>1286.47</v>
      </c>
      <c r="E37" s="249">
        <f>'数据-取费表'!B35</f>
        <v>200</v>
      </c>
      <c r="F37" s="259"/>
      <c r="G37" s="261" t="s">
        <v>1530</v>
      </c>
    </row>
    <row r="38" spans="1:7" ht="13.5" customHeight="1">
      <c r="A38" s="778" t="s">
        <v>354</v>
      </c>
      <c r="B38" s="215" t="s">
        <v>1531</v>
      </c>
      <c r="C38" s="220">
        <f ca="1">ROUND(C34*F38,0)</f>
        <v>7</v>
      </c>
      <c r="D38" s="220"/>
      <c r="E38" s="220"/>
      <c r="F38" s="259">
        <f>'数据-取费表'!B36</f>
        <v>1.4999999999999999E-2</v>
      </c>
      <c r="G38" s="219" t="s">
        <v>1526</v>
      </c>
    </row>
    <row r="39" spans="1:7" s="214" customFormat="1" ht="13.5" customHeight="1">
      <c r="A39" s="255" t="s">
        <v>1532</v>
      </c>
      <c r="B39" s="210" t="s">
        <v>1533</v>
      </c>
      <c r="C39" s="232">
        <f ca="1">ROUND(C33*F20,0)</f>
        <v>8</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22</v>
      </c>
      <c r="D41" s="235">
        <f ca="1">C44</f>
        <v>5.9999999999999995E-4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22</v>
      </c>
      <c r="D42" s="238"/>
      <c r="E42" s="238"/>
      <c r="F42" s="239"/>
      <c r="G42" s="3667" t="s">
        <v>1542</v>
      </c>
    </row>
    <row r="43" spans="1:7" ht="13.5" customHeight="1">
      <c r="A43" s="778" t="s">
        <v>347</v>
      </c>
      <c r="B43" s="215" t="s">
        <v>1543</v>
      </c>
      <c r="C43" s="238">
        <f ca="1">ROUND(IF('数据-取费表'!B22&lt;=1,C39*F22*'数据-取费表'!B21/2,C39*(POWER((1+F22),'数据-取费表'!B21/2)-1)),0)</f>
        <v>0</v>
      </c>
      <c r="D43" s="238"/>
      <c r="E43" s="238"/>
      <c r="F43" s="239"/>
      <c r="G43" s="3668"/>
    </row>
    <row r="44" spans="1:7" ht="13.5" customHeight="1">
      <c r="A44" s="778" t="s">
        <v>348</v>
      </c>
      <c r="B44" s="215" t="s">
        <v>1544</v>
      </c>
      <c r="C44" s="238">
        <f ca="1">ROUND(IF('数据-取费表'!B22&lt;=1,C40*F22*'数据-取费表'!B21/2,C40*(POWER((1+F22),'数据-取费表'!B21/2)-1)),4)</f>
        <v>5.9999999999999995E-4</v>
      </c>
      <c r="D44" s="238"/>
      <c r="E44" s="238"/>
      <c r="F44" s="239"/>
      <c r="G44" s="3669"/>
    </row>
    <row r="45" spans="1:7" s="214" customFormat="1" ht="13.5" customHeight="1">
      <c r="A45" s="255" t="s">
        <v>1545</v>
      </c>
      <c r="B45" s="244" t="s">
        <v>1511</v>
      </c>
      <c r="C45" s="245">
        <f ca="1">C46</f>
        <v>82</v>
      </c>
      <c r="D45" s="235">
        <f ca="1">C47</f>
        <v>2.3E-3</v>
      </c>
      <c r="E45" s="236" t="s">
        <v>1537</v>
      </c>
      <c r="F45" s="246">
        <f ca="1">F27</f>
        <v>0.15</v>
      </c>
      <c r="G45" s="247" t="s">
        <v>1546</v>
      </c>
    </row>
    <row r="46" spans="1:7" s="214" customFormat="1" ht="13.5" customHeight="1">
      <c r="A46" s="778" t="s">
        <v>346</v>
      </c>
      <c r="B46" s="248" t="s">
        <v>1547</v>
      </c>
      <c r="C46" s="249">
        <f ca="1">ROUND((C33+C39)*F27,0)</f>
        <v>82</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699</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489</v>
      </c>
      <c r="D51" s="232"/>
      <c r="E51" s="232"/>
      <c r="F51" s="264"/>
      <c r="G51" s="234" t="s">
        <v>1558</v>
      </c>
    </row>
    <row r="52" spans="1:7" s="208" customFormat="1" ht="16.5" thickBot="1">
      <c r="A52" s="265" t="s">
        <v>1559</v>
      </c>
      <c r="B52" s="266"/>
      <c r="C52" s="267">
        <f ca="1">C31+C51</f>
        <v>559</v>
      </c>
      <c r="D52" s="266"/>
      <c r="E52" s="266"/>
      <c r="F52" s="266"/>
      <c r="G52" s="268"/>
    </row>
    <row r="55" spans="1:7" ht="15">
      <c r="B55" s="270" t="s">
        <v>1560</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20">
        <f ca="1">ROUND(IF(D2="——",C52/10000,C52/10000-E2),4)</f>
        <v>558.47360000000003</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4341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257294</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257294</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257294</v>
      </c>
      <c r="D10" s="843">
        <f ca="1">IF(B1="",'数据-汇总表'!E6,IF(INDIRECT("'数据-取费表'!c"&amp;$G$1)="住宅",INDIRECT("'数据-取费表'!s"&amp;$G$1),INDIRECT("'数据-取费表'!k"&amp;$G$1)+INDIRECT("'数据-取费表'!s"&amp;$G$1)))</f>
        <v>1286.47</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257294</v>
      </c>
      <c r="D19" s="847">
        <f ca="1">D9+D10</f>
        <v>1286.47</v>
      </c>
      <c r="E19" s="211">
        <f>'数据-取费表'!B31</f>
        <v>200</v>
      </c>
      <c r="F19" s="231"/>
      <c r="G19" s="1854"/>
    </row>
    <row r="20" spans="1:7" s="214" customFormat="1" ht="13.5" customHeight="1">
      <c r="A20" s="255" t="s">
        <v>1572</v>
      </c>
      <c r="B20" s="210" t="s">
        <v>1573</v>
      </c>
      <c r="C20" s="232">
        <f ca="1">ROUND((C5+C19)*F20,0)</f>
        <v>7719</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5">
        <f ca="1">ROUND(SUM(C23:C25),0)</f>
        <v>43918</v>
      </c>
      <c r="D22" s="235">
        <f ca="1">C26</f>
        <v>5.9999999999999995E-4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21799</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21799</v>
      </c>
      <c r="D24" s="238"/>
      <c r="E24" s="238"/>
      <c r="F24" s="239"/>
      <c r="G24" s="240" t="s">
        <v>1584</v>
      </c>
    </row>
    <row r="25" spans="1:7" s="214" customFormat="1" ht="24">
      <c r="A25" s="778" t="s">
        <v>1474</v>
      </c>
      <c r="B25" s="215" t="s">
        <v>1585</v>
      </c>
      <c r="C25" s="1126">
        <f ca="1">ROUND(IF('数据-取费表'!B22&lt;=1,C20*F22*'数据-取费表'!B22/2,C20*(POWER((1+F22),'数据-取费表'!B22/2)-1)),0)</f>
        <v>320</v>
      </c>
      <c r="D25" s="238"/>
      <c r="E25" s="241"/>
      <c r="F25" s="239"/>
      <c r="G25" s="242" t="s">
        <v>1586</v>
      </c>
    </row>
    <row r="26" spans="1:7" s="214" customFormat="1">
      <c r="A26" s="778"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78346</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ROUND((C5+C19+C20)*F27,0)</f>
        <v>78346</v>
      </c>
      <c r="D28" s="235"/>
      <c r="E28" s="236"/>
      <c r="F28" s="246"/>
      <c r="G28" s="247"/>
    </row>
    <row r="29" spans="1:7" s="214" customFormat="1" ht="13.5" customHeight="1">
      <c r="A29" s="778" t="s">
        <v>347</v>
      </c>
      <c r="B29" s="248" t="s">
        <v>1515</v>
      </c>
      <c r="C29" s="238">
        <f ca="1">ROUND(C21*F27,4)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693983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5365867</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4888586</v>
      </c>
      <c r="D34" s="217"/>
      <c r="E34" s="220"/>
      <c r="F34" s="257"/>
      <c r="G34" s="219"/>
    </row>
    <row r="35" spans="1:7" ht="13.5" customHeight="1">
      <c r="A35" s="778" t="s">
        <v>351</v>
      </c>
      <c r="B35" s="215" t="s">
        <v>1525</v>
      </c>
      <c r="C35" s="220">
        <f ca="1">ROUND(C34*F35,0)</f>
        <v>146658</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257294</v>
      </c>
      <c r="D37" s="217">
        <f ca="1">D19</f>
        <v>1286.47</v>
      </c>
      <c r="E37" s="249">
        <f>'数据-取费表'!B35</f>
        <v>200</v>
      </c>
      <c r="F37" s="259"/>
      <c r="G37" s="261"/>
    </row>
    <row r="38" spans="1:7" ht="13.5" customHeight="1">
      <c r="A38" s="778" t="s">
        <v>354</v>
      </c>
      <c r="B38" s="215" t="s">
        <v>1531</v>
      </c>
      <c r="C38" s="220">
        <f ca="1">ROUND(C34*F38,0)</f>
        <v>73329</v>
      </c>
      <c r="D38" s="220"/>
      <c r="E38" s="220"/>
      <c r="F38" s="259">
        <f>'数据-取费表'!B36</f>
        <v>1.4999999999999999E-2</v>
      </c>
      <c r="G38" s="219" t="s">
        <v>1526</v>
      </c>
    </row>
    <row r="39" spans="1:7" s="214" customFormat="1" ht="13.5" customHeight="1">
      <c r="A39" s="255" t="s">
        <v>1532</v>
      </c>
      <c r="B39" s="210" t="s">
        <v>1533</v>
      </c>
      <c r="C39" s="232">
        <f ca="1">ROUND(C33*F20,0)</f>
        <v>80488</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226023</v>
      </c>
      <c r="D41" s="235">
        <f ca="1">C44</f>
        <v>5.9999999999999995E-4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222683</v>
      </c>
      <c r="D42" s="238"/>
      <c r="E42" s="238"/>
      <c r="F42" s="239"/>
      <c r="G42" s="3667" t="s">
        <v>1589</v>
      </c>
    </row>
    <row r="43" spans="1:7" ht="13.5" customHeight="1">
      <c r="A43" s="778" t="s">
        <v>347</v>
      </c>
      <c r="B43" s="215" t="s">
        <v>1543</v>
      </c>
      <c r="C43" s="238">
        <f ca="1">ROUND(IF('数据-取费表'!B22&lt;=1,C39*F22*'数据-取费表'!B20/2,C39*(POWER((1+F22),'数据-取费表'!B20/2)-1)),0)</f>
        <v>3340</v>
      </c>
      <c r="D43" s="238"/>
      <c r="E43" s="238"/>
      <c r="F43" s="239"/>
      <c r="G43" s="3668"/>
    </row>
    <row r="44" spans="1:7" ht="13.5" customHeight="1">
      <c r="A44" s="778" t="s">
        <v>348</v>
      </c>
      <c r="B44" s="215" t="s">
        <v>1544</v>
      </c>
      <c r="C44" s="238">
        <f ca="1">ROUND(IF('数据-取费表'!B22&lt;=1,C40*F22*'数据-取费表'!B20/2,C40*(POWER((1+F22),'数据-取费表'!B20/2)-1)),4)</f>
        <v>5.9999999999999995E-4</v>
      </c>
      <c r="D44" s="238"/>
      <c r="E44" s="238"/>
      <c r="F44" s="239"/>
      <c r="G44" s="3669"/>
    </row>
    <row r="45" spans="1:7" s="214" customFormat="1" ht="13.5" customHeight="1">
      <c r="A45" s="255" t="s">
        <v>1545</v>
      </c>
      <c r="B45" s="244" t="s">
        <v>1511</v>
      </c>
      <c r="C45" s="245">
        <f ca="1">C46</f>
        <v>816953</v>
      </c>
      <c r="D45" s="235">
        <f ca="1">C47</f>
        <v>2.3E-3</v>
      </c>
      <c r="E45" s="236" t="s">
        <v>1537</v>
      </c>
      <c r="F45" s="246">
        <f ca="1">F27</f>
        <v>0.15</v>
      </c>
      <c r="G45" s="247" t="s">
        <v>1546</v>
      </c>
    </row>
    <row r="46" spans="1:7" s="214" customFormat="1" ht="13.5" customHeight="1">
      <c r="A46" s="778" t="s">
        <v>346</v>
      </c>
      <c r="B46" s="248" t="s">
        <v>1547</v>
      </c>
      <c r="C46" s="249">
        <f ca="1">ROUND((C33+C39)*F27,0)</f>
        <v>816953</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6986790</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4890753</v>
      </c>
      <c r="D51" s="232"/>
      <c r="E51" s="232"/>
      <c r="F51" s="264"/>
      <c r="G51" s="234" t="s">
        <v>1558</v>
      </c>
    </row>
    <row r="52" spans="1:7" s="208" customFormat="1" ht="16.5" thickBot="1">
      <c r="A52" s="265" t="s">
        <v>1559</v>
      </c>
      <c r="B52" s="266"/>
      <c r="C52" s="267">
        <f ca="1">C31+C51</f>
        <v>5584736</v>
      </c>
      <c r="D52" s="266"/>
      <c r="E52" s="266"/>
      <c r="F52" s="266"/>
      <c r="G52" s="268"/>
    </row>
    <row r="55" spans="1:7" ht="15">
      <c r="B55" s="270" t="s">
        <v>1560</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1286.47</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1286.47</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26</v>
      </c>
      <c r="D20" s="844">
        <f ca="1">IF(C1="",'数据-汇总表'!E6,IF(INDIRECT("'数据-取费表'!c"&amp;$K$1)="住宅",INDIRECT("'数据-取费表'!s"&amp;$K$1),INDIRECT("'数据-取费表'!k"&amp;$K$1)+INDIRECT("'数据-取费表'!s"&amp;$K$1)))</f>
        <v>1286.47</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1.4999999999999999E-2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1.4999999999999999E-2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2" t="s">
        <v>694</v>
      </c>
      <c r="C6" s="1072">
        <f ca="1">ROUND(F6*F8*F7*(1-F9)/10000,0)</f>
        <v>0</v>
      </c>
      <c r="D6" s="155" t="s">
        <v>2105</v>
      </c>
      <c r="E6" s="302" t="s">
        <v>696</v>
      </c>
      <c r="F6" s="303">
        <f ca="1">INDIRECT("'数据-取费表'!u"&amp;$G$1)</f>
        <v>0</v>
      </c>
      <c r="G6" s="1382"/>
      <c r="H6" s="1067" t="s">
        <v>398</v>
      </c>
      <c r="I6" s="3672" t="s">
        <v>694</v>
      </c>
      <c r="J6" s="301">
        <f ca="1">ROUND(M6*M8*M7*(1-M9)/10000,0)</f>
        <v>0</v>
      </c>
      <c r="K6" s="155" t="s">
        <v>2104</v>
      </c>
      <c r="L6" s="302" t="s">
        <v>696</v>
      </c>
      <c r="M6" s="303">
        <f ca="1">INDIRECT("'数据-取费表'!z"&amp;$G$1)</f>
        <v>0</v>
      </c>
    </row>
    <row r="7" spans="1:37" ht="18" customHeight="1">
      <c r="A7" s="1071"/>
      <c r="B7" s="3673"/>
      <c r="C7" s="1073"/>
      <c r="D7" s="307"/>
      <c r="E7" s="1074" t="s">
        <v>697</v>
      </c>
      <c r="F7" s="303">
        <f ca="1">IF(INDIRECT("'数据-取费表'!ah"&amp;$G$1)="",INDIRECT("'数据-取费表'!k"&amp;$G$1),INDIRECT("'数据-取费表'!ah"&amp;$G$1))</f>
        <v>0</v>
      </c>
      <c r="G7" s="1382"/>
      <c r="H7" s="304"/>
      <c r="I7" s="3673"/>
      <c r="J7" s="306"/>
      <c r="K7" s="307"/>
      <c r="L7" s="302" t="s">
        <v>697</v>
      </c>
      <c r="M7" s="303">
        <f ca="1">F7</f>
        <v>0</v>
      </c>
    </row>
    <row r="8" spans="1:37" ht="18" customHeight="1">
      <c r="A8" s="304"/>
      <c r="B8" s="3673"/>
      <c r="C8" s="306"/>
      <c r="D8" s="307"/>
      <c r="E8" s="302" t="s">
        <v>698</v>
      </c>
      <c r="F8" s="303">
        <f ca="1">INDIRECT("'数据-取费表'!ai"&amp;$G$1)</f>
        <v>0</v>
      </c>
      <c r="G8" s="1382"/>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2"/>
      <c r="H9" s="304"/>
      <c r="I9" s="367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1.4999999999999999E-2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70"/>
      <c r="L30" s="2692"/>
      <c r="M30" s="2693"/>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2" t="s">
        <v>2302</v>
      </c>
      <c r="I31" s="1396"/>
      <c r="J31" s="1397"/>
      <c r="K31" s="2470"/>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70"/>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30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9"/>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9"/>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9"/>
      <c r="L41" s="1189"/>
      <c r="M41" s="1189"/>
    </row>
    <row r="42" spans="1:18" ht="18" customHeight="1">
      <c r="A42" s="308"/>
      <c r="B42" s="309"/>
      <c r="C42" s="310"/>
      <c r="D42" s="327"/>
      <c r="E42" s="302" t="s">
        <v>766</v>
      </c>
      <c r="F42" s="312">
        <f ca="1">INDIRECT("'数据-取费表'!v"&amp;$G$1)</f>
        <v>0</v>
      </c>
      <c r="G42" s="1382"/>
      <c r="H42" s="1189"/>
      <c r="I42" s="1396"/>
      <c r="J42" s="1397"/>
      <c r="K42" s="2539"/>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70" t="s">
        <v>837</v>
      </c>
      <c r="L53" s="3671"/>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3" t="s">
        <v>2310</v>
      </c>
      <c r="B2" s="2837" t="e">
        <f>IF(D2="——",C40,C40+E2)</f>
        <v>#DIV/0!</v>
      </c>
      <c r="C2" s="2838" t="s">
        <v>2311</v>
      </c>
      <c r="D2" s="3439" t="s">
        <v>3362</v>
      </c>
      <c r="E2" s="3440"/>
      <c r="F2" s="2840"/>
      <c r="G2" s="2841"/>
      <c r="H2" s="2842"/>
      <c r="I2" s="2843"/>
      <c r="J2" s="3675" t="s">
        <v>2312</v>
      </c>
      <c r="K2" s="3676"/>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77" t="s">
        <v>2322</v>
      </c>
      <c r="K3" s="3678"/>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77" t="s">
        <v>2324</v>
      </c>
      <c r="K4" s="3678"/>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79" t="s">
        <v>2328</v>
      </c>
      <c r="B6" s="3680"/>
      <c r="C6" s="3681"/>
      <c r="D6" s="2864"/>
      <c r="E6" s="2865"/>
      <c r="F6" s="2866"/>
      <c r="G6" s="2867"/>
      <c r="H6" s="2842"/>
      <c r="I6" s="2843"/>
      <c r="J6" s="3682">
        <v>1</v>
      </c>
      <c r="K6" s="3683"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82"/>
      <c r="K7" s="3684"/>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86" t="s">
        <v>2342</v>
      </c>
      <c r="C8" s="3687"/>
      <c r="D8" s="2883" t="s">
        <v>2343</v>
      </c>
      <c r="E8" s="2884" t="s">
        <v>2344</v>
      </c>
      <c r="F8" s="2885" t="s">
        <v>2345</v>
      </c>
      <c r="G8" s="2886"/>
      <c r="H8" s="2842"/>
      <c r="I8" s="2843"/>
      <c r="J8" s="3682"/>
      <c r="K8" s="3684"/>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86" t="s">
        <v>2348</v>
      </c>
      <c r="C9" s="3687"/>
      <c r="D9" s="2883">
        <f>ROUND(D6*E9,0)</f>
        <v>0</v>
      </c>
      <c r="E9" s="2887"/>
      <c r="F9" s="2888" t="s">
        <v>2349</v>
      </c>
      <c r="G9" s="2867"/>
      <c r="H9" s="2842"/>
      <c r="I9" s="2843"/>
      <c r="J9" s="3682"/>
      <c r="K9" s="3684"/>
      <c r="L9" s="2877" t="s">
        <v>2350</v>
      </c>
      <c r="M9" s="2878"/>
      <c r="N9" s="2854"/>
      <c r="O9" s="2879"/>
      <c r="P9" s="2879"/>
      <c r="Q9" s="2880">
        <v>365</v>
      </c>
      <c r="R9" s="2881">
        <f t="shared" si="0"/>
        <v>0</v>
      </c>
      <c r="S9" s="2835"/>
      <c r="T9" s="2835"/>
      <c r="U9" s="2835"/>
      <c r="V9" s="2843"/>
    </row>
    <row r="10" spans="1:22" s="2847" customFormat="1" ht="13.15" customHeight="1">
      <c r="A10" s="2882">
        <v>2</v>
      </c>
      <c r="B10" s="3686" t="s">
        <v>2351</v>
      </c>
      <c r="C10" s="3687"/>
      <c r="D10" s="2883">
        <f>ROUND(D6*E10,0)</f>
        <v>0</v>
      </c>
      <c r="E10" s="2887"/>
      <c r="F10" s="2888" t="s">
        <v>2352</v>
      </c>
      <c r="G10" s="2867"/>
      <c r="H10" s="2842"/>
      <c r="I10" s="2843"/>
      <c r="J10" s="3682"/>
      <c r="K10" s="3684"/>
      <c r="L10" s="2877" t="s">
        <v>2353</v>
      </c>
      <c r="M10" s="2878"/>
      <c r="N10" s="2854"/>
      <c r="O10" s="2879"/>
      <c r="P10" s="2879"/>
      <c r="Q10" s="2880">
        <v>365</v>
      </c>
      <c r="R10" s="2881">
        <f t="shared" si="0"/>
        <v>0</v>
      </c>
      <c r="S10" s="2835"/>
      <c r="T10" s="2835"/>
      <c r="U10" s="2835"/>
      <c r="V10" s="2843"/>
    </row>
    <row r="11" spans="1:22" s="2847" customFormat="1" ht="13.15" customHeight="1">
      <c r="A11" s="2882">
        <v>3</v>
      </c>
      <c r="B11" s="3686" t="s">
        <v>2354</v>
      </c>
      <c r="C11" s="3687"/>
      <c r="D11" s="2883">
        <f>D12+D14+D15+D16</f>
        <v>0</v>
      </c>
      <c r="E11" s="2889" t="e">
        <f>D11/D6</f>
        <v>#DIV/0!</v>
      </c>
      <c r="F11" s="2885"/>
      <c r="G11" s="2886"/>
      <c r="H11" s="2842"/>
      <c r="I11" s="2843"/>
      <c r="J11" s="3682"/>
      <c r="K11" s="3684"/>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88" t="s">
        <v>2357</v>
      </c>
      <c r="C12" s="3689"/>
      <c r="D12" s="2891">
        <f>ROUND(D13*1.2%*(1-30%),0)</f>
        <v>0</v>
      </c>
      <c r="E12" s="2892">
        <v>1.2E-2</v>
      </c>
      <c r="F12" s="2885" t="s">
        <v>2358</v>
      </c>
      <c r="G12" s="2886"/>
      <c r="H12" s="2842"/>
      <c r="I12" s="2843"/>
      <c r="J12" s="3682"/>
      <c r="K12" s="3684"/>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82"/>
      <c r="K13" s="3684"/>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88" t="s">
        <v>2363</v>
      </c>
      <c r="C14" s="3689"/>
      <c r="D14" s="2891">
        <f>ROUND(E14*B5/10000,0)</f>
        <v>0</v>
      </c>
      <c r="E14" s="2880"/>
      <c r="F14" s="2885" t="s">
        <v>2364</v>
      </c>
      <c r="G14" s="2886"/>
      <c r="H14" s="2842"/>
      <c r="I14" s="2843"/>
      <c r="J14" s="3682"/>
      <c r="K14" s="3685"/>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88" t="s">
        <v>2367</v>
      </c>
      <c r="C15" s="3689"/>
      <c r="D15" s="2891">
        <f>ROUND(D6*E15,0)</f>
        <v>0</v>
      </c>
      <c r="E15" s="2892">
        <v>5.5E-2</v>
      </c>
      <c r="F15" s="2885" t="s">
        <v>2368</v>
      </c>
      <c r="G15" s="2867"/>
      <c r="H15" s="2842"/>
      <c r="I15" s="2843"/>
      <c r="J15" s="3682">
        <v>2</v>
      </c>
      <c r="K15" s="3683"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88" t="s">
        <v>2376</v>
      </c>
      <c r="C16" s="3689"/>
      <c r="D16" s="2902">
        <f>D6*E16</f>
        <v>0</v>
      </c>
      <c r="E16" s="2903"/>
      <c r="F16" s="2888" t="s">
        <v>2377</v>
      </c>
      <c r="G16" s="2867"/>
      <c r="H16" s="2842"/>
      <c r="I16" s="2843"/>
      <c r="J16" s="3682"/>
      <c r="K16" s="3684"/>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90" t="s">
        <v>2379</v>
      </c>
      <c r="C17" s="3691"/>
      <c r="D17" s="2905">
        <f>ROUND(D6*E17,0)</f>
        <v>0</v>
      </c>
      <c r="E17" s="2906"/>
      <c r="F17" s="2907" t="s">
        <v>2380</v>
      </c>
      <c r="G17" s="2867"/>
      <c r="H17" s="2842"/>
      <c r="I17" s="2843"/>
      <c r="J17" s="3682"/>
      <c r="K17" s="3684"/>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82"/>
      <c r="K18" s="3684"/>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82"/>
      <c r="K19" s="3685"/>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82">
        <v>3</v>
      </c>
      <c r="K20" s="3683"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82"/>
      <c r="K21" s="3684"/>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82"/>
      <c r="K22" s="3684"/>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82"/>
      <c r="K23" s="3684"/>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82"/>
      <c r="K24" s="3685"/>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92">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9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75" t="s">
        <v>2312</v>
      </c>
      <c r="K32" s="3676"/>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77" t="s">
        <v>2322</v>
      </c>
      <c r="K33" s="3678"/>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77" t="s">
        <v>2324</v>
      </c>
      <c r="K34" s="367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82">
        <v>1</v>
      </c>
      <c r="K36" s="3683"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82"/>
      <c r="K37" s="3684"/>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82"/>
      <c r="K38" s="3684"/>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82"/>
      <c r="K39" s="3684"/>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82"/>
      <c r="K40" s="3685"/>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92">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9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1"/>
      <c r="G1" s="1487"/>
      <c r="H1" s="1487"/>
      <c r="I1" s="1487"/>
      <c r="J1" s="1487"/>
      <c r="K1" s="1487"/>
      <c r="L1" s="1487"/>
      <c r="M1" s="1487"/>
      <c r="N1" s="1487"/>
      <c r="O1" s="1487"/>
      <c r="P1" s="1487"/>
      <c r="Q1" s="1487"/>
      <c r="R1" s="1487"/>
      <c r="S1" s="1487"/>
    </row>
    <row r="2" spans="1:22" ht="15.75">
      <c r="A2" s="1868" t="s">
        <v>1460</v>
      </c>
      <c r="B2" s="1869">
        <f ca="1">SUMIF(B6:B13,"&lt;&gt;#ref!",B6:B13)</f>
        <v>3839.5032999999999</v>
      </c>
      <c r="C2" s="1870" t="s">
        <v>1649</v>
      </c>
      <c r="D2" s="1871" t="s">
        <v>1650</v>
      </c>
      <c r="E2" s="2602">
        <f>SUM(E6:E13)</f>
        <v>1286.47</v>
      </c>
      <c r="F2" s="2701"/>
      <c r="G2" s="1487"/>
      <c r="H2" s="1487"/>
      <c r="I2" s="1487"/>
      <c r="J2" s="1487"/>
      <c r="K2" s="1487"/>
      <c r="L2" s="1487"/>
      <c r="M2" s="1487"/>
      <c r="N2" s="1487"/>
      <c r="O2" s="1487"/>
      <c r="P2" s="1487"/>
      <c r="Q2" s="1487"/>
      <c r="R2" s="1487"/>
      <c r="S2" s="1487"/>
    </row>
    <row r="3" spans="1:22" ht="15.75">
      <c r="A3" s="1868" t="s">
        <v>686</v>
      </c>
      <c r="B3" s="2596">
        <f ca="1">ROUND(B2*10000/E2,0)</f>
        <v>29845</v>
      </c>
      <c r="C3" s="1870" t="s">
        <v>1657</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8" t="s">
        <v>1651</v>
      </c>
      <c r="B5" s="3694" t="s">
        <v>1652</v>
      </c>
      <c r="C5" s="3695"/>
      <c r="D5" s="2702"/>
      <c r="E5" s="1872" t="s">
        <v>1653</v>
      </c>
      <c r="F5" s="1873" t="s">
        <v>1654</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3839.5032999999999</v>
      </c>
      <c r="C6" s="1870" t="s">
        <v>1649</v>
      </c>
      <c r="D6" s="2703"/>
      <c r="E6" s="2601">
        <f>IF(OR(A6=0,F6="否"),0,'数据-取费表'!K6+'数据-取费表'!S6)</f>
        <v>1286.47</v>
      </c>
      <c r="F6" s="1874" t="s">
        <v>1655</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1649</v>
      </c>
      <c r="D7" s="2703"/>
      <c r="E7" s="2601">
        <f>IF(OR(A7=0,F7="否"),0,'数据-取费表'!K7+'数据-取费表'!S7)</f>
        <v>0</v>
      </c>
      <c r="F7" s="1874" t="s">
        <v>1655</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1649</v>
      </c>
      <c r="D8" s="2703"/>
      <c r="E8" s="2601">
        <f>IF(OR(A8=0,F8="否"),0,'数据-取费表'!K8+'数据-取费表'!S8)</f>
        <v>0</v>
      </c>
      <c r="F8" s="1874" t="s">
        <v>1655</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1649</v>
      </c>
      <c r="D9" s="2703"/>
      <c r="E9" s="2601">
        <f>IF(OR(A9=0,F9="否"),0,'数据-取费表'!K9+'数据-取费表'!S9)</f>
        <v>0</v>
      </c>
      <c r="F9" s="1874" t="s">
        <v>1655</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1649</v>
      </c>
      <c r="D10" s="2703"/>
      <c r="E10" s="2601">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1649</v>
      </c>
      <c r="D11" s="2703"/>
      <c r="E11" s="2601">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1649</v>
      </c>
      <c r="D12" s="2703"/>
      <c r="E12" s="2601">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1649</v>
      </c>
      <c r="D13" s="2704"/>
      <c r="E13" s="2601">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1286.47</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1664</v>
      </c>
      <c r="B4" s="356"/>
      <c r="C4" s="3714" t="s">
        <v>1665</v>
      </c>
      <c r="D4" s="3715"/>
      <c r="E4" s="3716" t="s">
        <v>1666</v>
      </c>
      <c r="F4" s="3717"/>
      <c r="G4" s="3714" t="s">
        <v>1667</v>
      </c>
      <c r="H4" s="3715"/>
      <c r="I4" s="3714" t="s">
        <v>1668</v>
      </c>
      <c r="J4" s="3715"/>
      <c r="K4" s="1887" t="s">
        <v>1669</v>
      </c>
      <c r="L4" s="2709"/>
      <c r="M4" s="2710"/>
      <c r="N4" s="2710"/>
      <c r="O4" s="2710"/>
      <c r="P4" s="3718" t="s">
        <v>1670</v>
      </c>
      <c r="Q4" s="3719"/>
      <c r="R4" s="3701" t="s">
        <v>1666</v>
      </c>
      <c r="S4" s="3702"/>
      <c r="T4" s="3701" t="s">
        <v>1667</v>
      </c>
      <c r="U4" s="3702"/>
      <c r="V4" s="3726" t="s">
        <v>1668</v>
      </c>
      <c r="W4" s="3726"/>
      <c r="X4" s="1353"/>
      <c r="Y4" s="3701" t="s">
        <v>1670</v>
      </c>
      <c r="Z4" s="3702"/>
      <c r="AA4" s="3696" t="s">
        <v>1666</v>
      </c>
      <c r="AB4" s="3696" t="s">
        <v>1667</v>
      </c>
      <c r="AC4" s="3696" t="s">
        <v>1668</v>
      </c>
    </row>
    <row r="5" spans="1:29" ht="15">
      <c r="A5" s="358"/>
      <c r="B5" s="359"/>
      <c r="C5" s="3707" t="s">
        <v>1671</v>
      </c>
      <c r="D5" s="3708"/>
      <c r="E5" s="3705" t="s">
        <v>1672</v>
      </c>
      <c r="F5" s="3706"/>
      <c r="G5" s="3707" t="s">
        <v>1673</v>
      </c>
      <c r="H5" s="3708"/>
      <c r="I5" s="3707" t="s">
        <v>1674</v>
      </c>
      <c r="J5" s="3708"/>
      <c r="K5" s="1888"/>
      <c r="L5" s="2709"/>
      <c r="M5" s="2710"/>
      <c r="N5" s="2710"/>
      <c r="O5" s="2710"/>
      <c r="P5" s="3720"/>
      <c r="Q5" s="3721"/>
      <c r="R5" s="3703"/>
      <c r="S5" s="3704"/>
      <c r="T5" s="3703"/>
      <c r="U5" s="3704"/>
      <c r="V5" s="3726"/>
      <c r="W5" s="3726"/>
      <c r="X5" s="1353"/>
      <c r="Y5" s="3703"/>
      <c r="Z5" s="3704"/>
      <c r="AA5" s="3697"/>
      <c r="AB5" s="3697"/>
      <c r="AC5" s="3697"/>
    </row>
    <row r="6" spans="1:29" ht="15.75" thickBot="1">
      <c r="A6" s="360"/>
      <c r="B6" s="361"/>
      <c r="C6" s="3709" t="s">
        <v>1675</v>
      </c>
      <c r="D6" s="3710"/>
      <c r="E6" s="3711" t="s">
        <v>1675</v>
      </c>
      <c r="F6" s="3712"/>
      <c r="G6" s="3709" t="s">
        <v>1675</v>
      </c>
      <c r="H6" s="3710"/>
      <c r="I6" s="3709" t="s">
        <v>1675</v>
      </c>
      <c r="J6" s="3710"/>
      <c r="K6" s="1888" t="s">
        <v>1676</v>
      </c>
      <c r="L6" s="2709"/>
      <c r="M6" s="2710"/>
      <c r="N6" s="2710"/>
      <c r="O6" s="2710"/>
      <c r="P6" s="3722"/>
      <c r="Q6" s="3723"/>
      <c r="R6" s="3703"/>
      <c r="S6" s="3704"/>
      <c r="T6" s="3724"/>
      <c r="U6" s="3725"/>
      <c r="V6" s="3726"/>
      <c r="W6" s="3726"/>
      <c r="X6" s="1353"/>
      <c r="Y6" s="3724"/>
      <c r="Z6" s="3725"/>
      <c r="AA6" s="3698"/>
      <c r="AB6" s="3698"/>
      <c r="AC6" s="3698"/>
    </row>
    <row r="7" spans="1:29" s="108" customFormat="1" ht="15.75" thickBot="1">
      <c r="A7" s="362" t="s">
        <v>1677</v>
      </c>
      <c r="B7" s="363"/>
      <c r="C7" s="364">
        <f>'数据-取费表'!B2</f>
        <v>44965</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99" t="s">
        <v>1678</v>
      </c>
      <c r="Q7" s="3727"/>
      <c r="R7" s="699" t="s">
        <v>20</v>
      </c>
      <c r="S7" s="700">
        <f t="shared" ref="S7:S15" si="0">F7</f>
        <v>0</v>
      </c>
      <c r="T7" s="699" t="s">
        <v>20</v>
      </c>
      <c r="U7" s="700">
        <f t="shared" ref="U7:U15" si="1">H7</f>
        <v>0</v>
      </c>
      <c r="V7" s="699" t="s">
        <v>20</v>
      </c>
      <c r="W7" s="700">
        <f t="shared" ref="W7:W15" si="2">J7</f>
        <v>0</v>
      </c>
      <c r="X7" s="701"/>
      <c r="Y7" s="3699" t="s">
        <v>1678</v>
      </c>
      <c r="Z7" s="3700"/>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99" t="s">
        <v>1681</v>
      </c>
      <c r="Q8" s="3700"/>
      <c r="R8" s="699" t="s">
        <v>20</v>
      </c>
      <c r="S8" s="700">
        <f t="shared" si="0"/>
        <v>100</v>
      </c>
      <c r="T8" s="699" t="s">
        <v>20</v>
      </c>
      <c r="U8" s="700">
        <f t="shared" si="1"/>
        <v>100</v>
      </c>
      <c r="V8" s="699" t="s">
        <v>20</v>
      </c>
      <c r="W8" s="700">
        <f t="shared" si="2"/>
        <v>100</v>
      </c>
      <c r="X8" s="701"/>
      <c r="Y8" s="3699" t="s">
        <v>1681</v>
      </c>
      <c r="Z8" s="3700"/>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13" t="s">
        <v>1684</v>
      </c>
      <c r="Q9" s="1341" t="str">
        <f t="shared" ref="Q9:Q15" si="6">B9</f>
        <v>用途</v>
      </c>
      <c r="R9" s="699" t="s">
        <v>14</v>
      </c>
      <c r="S9" s="700">
        <f t="shared" si="0"/>
        <v>100</v>
      </c>
      <c r="T9" s="699" t="s">
        <v>14</v>
      </c>
      <c r="U9" s="700">
        <f t="shared" si="1"/>
        <v>100</v>
      </c>
      <c r="V9" s="699" t="s">
        <v>14</v>
      </c>
      <c r="W9" s="700">
        <f t="shared" si="2"/>
        <v>100</v>
      </c>
      <c r="X9" s="701"/>
      <c r="Y9" s="3646" t="s">
        <v>1685</v>
      </c>
      <c r="Z9" s="52" t="str">
        <f t="shared" ref="Z9:Z15" si="7">Q9</f>
        <v>用途</v>
      </c>
      <c r="AA9" s="702">
        <f t="shared" si="3"/>
        <v>1</v>
      </c>
      <c r="AB9" s="702">
        <f t="shared" si="4"/>
        <v>1</v>
      </c>
      <c r="AC9" s="702">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89"/>
      <c r="L10" s="2713"/>
      <c r="M10" s="2714"/>
      <c r="N10" s="2714"/>
      <c r="O10" s="2714"/>
      <c r="P10" s="3713"/>
      <c r="Q10" s="1341" t="str">
        <f t="shared" si="6"/>
        <v>土地使用年限（年）</v>
      </c>
      <c r="R10" s="699" t="s">
        <v>14</v>
      </c>
      <c r="S10" s="700">
        <f t="shared" si="0"/>
        <v>100</v>
      </c>
      <c r="T10" s="699" t="s">
        <v>14</v>
      </c>
      <c r="U10" s="700">
        <f t="shared" si="1"/>
        <v>100</v>
      </c>
      <c r="V10" s="699" t="s">
        <v>14</v>
      </c>
      <c r="W10" s="700">
        <f t="shared" si="2"/>
        <v>100</v>
      </c>
      <c r="X10" s="701"/>
      <c r="Y10" s="3646"/>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13"/>
      <c r="Q11" s="1341" t="str">
        <f t="shared" si="6"/>
        <v>容积率</v>
      </c>
      <c r="R11" s="699" t="s">
        <v>18</v>
      </c>
      <c r="S11" s="700" t="e">
        <f t="shared" si="0"/>
        <v>#N/A</v>
      </c>
      <c r="T11" s="699" t="s">
        <v>18</v>
      </c>
      <c r="U11" s="700" t="e">
        <f t="shared" si="1"/>
        <v>#N/A</v>
      </c>
      <c r="V11" s="699" t="s">
        <v>18</v>
      </c>
      <c r="W11" s="700" t="e">
        <f t="shared" si="2"/>
        <v>#N/A</v>
      </c>
      <c r="X11" s="701"/>
      <c r="Y11" s="36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13"/>
      <c r="Q12" s="1341">
        <f t="shared" si="6"/>
        <v>111</v>
      </c>
      <c r="R12" s="699" t="s">
        <v>18</v>
      </c>
      <c r="S12" s="700">
        <f t="shared" si="0"/>
        <v>100</v>
      </c>
      <c r="T12" s="699" t="s">
        <v>18</v>
      </c>
      <c r="U12" s="700">
        <f t="shared" si="1"/>
        <v>100</v>
      </c>
      <c r="V12" s="699" t="s">
        <v>18</v>
      </c>
      <c r="W12" s="700">
        <f t="shared" si="2"/>
        <v>100</v>
      </c>
      <c r="X12" s="701"/>
      <c r="Y12" s="36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13"/>
      <c r="Q13" s="1341">
        <f t="shared" si="6"/>
        <v>111</v>
      </c>
      <c r="R13" s="699" t="s">
        <v>18</v>
      </c>
      <c r="S13" s="700">
        <f t="shared" si="0"/>
        <v>100</v>
      </c>
      <c r="T13" s="699" t="s">
        <v>18</v>
      </c>
      <c r="U13" s="700">
        <f t="shared" si="1"/>
        <v>100</v>
      </c>
      <c r="V13" s="699" t="s">
        <v>18</v>
      </c>
      <c r="W13" s="700">
        <f t="shared" si="2"/>
        <v>100</v>
      </c>
      <c r="X13" s="701"/>
      <c r="Y13" s="36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13"/>
      <c r="Q14" s="1341">
        <f t="shared" si="6"/>
        <v>111</v>
      </c>
      <c r="R14" s="699" t="s">
        <v>18</v>
      </c>
      <c r="S14" s="700">
        <f t="shared" si="0"/>
        <v>100</v>
      </c>
      <c r="T14" s="699" t="s">
        <v>18</v>
      </c>
      <c r="U14" s="700">
        <f t="shared" si="1"/>
        <v>100</v>
      </c>
      <c r="V14" s="699" t="s">
        <v>18</v>
      </c>
      <c r="W14" s="700">
        <f t="shared" si="2"/>
        <v>100</v>
      </c>
      <c r="X14" s="701"/>
      <c r="Y14" s="3646"/>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40" t="s">
        <v>1689</v>
      </c>
      <c r="Q15" s="1350" t="str">
        <f t="shared" si="6"/>
        <v>居住社区成熟度</v>
      </c>
      <c r="R15" s="703" t="s">
        <v>18</v>
      </c>
      <c r="S15" s="704">
        <f t="shared" si="0"/>
        <v>100</v>
      </c>
      <c r="T15" s="703" t="s">
        <v>18</v>
      </c>
      <c r="U15" s="704">
        <f t="shared" si="1"/>
        <v>100</v>
      </c>
      <c r="V15" s="703" t="s">
        <v>18</v>
      </c>
      <c r="W15" s="704">
        <f t="shared" si="2"/>
        <v>100</v>
      </c>
      <c r="X15" s="1353"/>
      <c r="Y15" s="3733"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41"/>
      <c r="Q16" s="1350"/>
      <c r="R16" s="703"/>
      <c r="S16" s="704"/>
      <c r="T16" s="703"/>
      <c r="U16" s="704"/>
      <c r="V16" s="703"/>
      <c r="W16" s="704"/>
      <c r="X16" s="1353"/>
      <c r="Y16" s="3734"/>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41"/>
      <c r="Q17" s="1350" t="str">
        <f>B17</f>
        <v>交通便捷度</v>
      </c>
      <c r="R17" s="703" t="s">
        <v>18</v>
      </c>
      <c r="S17" s="704">
        <f>F17</f>
        <v>100</v>
      </c>
      <c r="T17" s="703" t="s">
        <v>18</v>
      </c>
      <c r="U17" s="704">
        <f>H17</f>
        <v>100</v>
      </c>
      <c r="V17" s="703" t="s">
        <v>18</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41"/>
      <c r="Q18" s="1350"/>
      <c r="R18" s="703"/>
      <c r="S18" s="704"/>
      <c r="T18" s="703"/>
      <c r="U18" s="704"/>
      <c r="V18" s="703"/>
      <c r="W18" s="704"/>
      <c r="X18" s="1353"/>
      <c r="Y18" s="3734"/>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41"/>
      <c r="Q19" s="1350" t="str">
        <f>B19</f>
        <v>公共配套设施</v>
      </c>
      <c r="R19" s="703" t="s">
        <v>18</v>
      </c>
      <c r="S19" s="704">
        <f>F19</f>
        <v>100</v>
      </c>
      <c r="T19" s="703" t="s">
        <v>18</v>
      </c>
      <c r="U19" s="704">
        <f>H19</f>
        <v>100</v>
      </c>
      <c r="V19" s="703" t="s">
        <v>18</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41"/>
      <c r="Q20" s="1350"/>
      <c r="R20" s="703"/>
      <c r="S20" s="704"/>
      <c r="T20" s="703"/>
      <c r="U20" s="704"/>
      <c r="V20" s="703"/>
      <c r="W20" s="704"/>
      <c r="X20" s="1353"/>
      <c r="Y20" s="3734"/>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41"/>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41"/>
      <c r="Q22" s="1350"/>
      <c r="R22" s="703"/>
      <c r="S22" s="704"/>
      <c r="T22" s="703"/>
      <c r="U22" s="704"/>
      <c r="V22" s="703"/>
      <c r="W22" s="704"/>
      <c r="X22" s="1353"/>
      <c r="Y22" s="3734"/>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41"/>
      <c r="Q23" s="1350" t="str">
        <f>B23</f>
        <v>自然及人文环境</v>
      </c>
      <c r="R23" s="703" t="s">
        <v>18</v>
      </c>
      <c r="S23" s="704">
        <f>F23</f>
        <v>100</v>
      </c>
      <c r="T23" s="703" t="s">
        <v>18</v>
      </c>
      <c r="U23" s="704">
        <f>H23</f>
        <v>100</v>
      </c>
      <c r="V23" s="703" t="s">
        <v>18</v>
      </c>
      <c r="W23" s="704">
        <f>J23</f>
        <v>100</v>
      </c>
      <c r="X23" s="1353"/>
      <c r="Y23" s="373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41"/>
      <c r="Q24" s="1350"/>
      <c r="R24" s="703"/>
      <c r="S24" s="704"/>
      <c r="T24" s="703"/>
      <c r="U24" s="704"/>
      <c r="V24" s="703"/>
      <c r="W24" s="704"/>
      <c r="X24" s="1353"/>
      <c r="Y24" s="3734"/>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4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4"/>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41"/>
      <c r="Q26" s="1350" t="str">
        <f t="shared" si="11"/>
        <v>朝向</v>
      </c>
      <c r="R26" s="703" t="s">
        <v>18</v>
      </c>
      <c r="S26" s="704">
        <f t="shared" si="12"/>
        <v>100</v>
      </c>
      <c r="T26" s="703" t="s">
        <v>18</v>
      </c>
      <c r="U26" s="704">
        <f t="shared" si="13"/>
        <v>100</v>
      </c>
      <c r="V26" s="703" t="s">
        <v>18</v>
      </c>
      <c r="W26" s="704">
        <f t="shared" si="14"/>
        <v>100</v>
      </c>
      <c r="X26" s="1353"/>
      <c r="Y26" s="373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41"/>
      <c r="Q27" s="1341">
        <f t="shared" si="11"/>
        <v>111</v>
      </c>
      <c r="R27" s="699" t="s">
        <v>18</v>
      </c>
      <c r="S27" s="700">
        <f t="shared" si="12"/>
        <v>100</v>
      </c>
      <c r="T27" s="699" t="s">
        <v>18</v>
      </c>
      <c r="U27" s="700">
        <f t="shared" si="13"/>
        <v>100</v>
      </c>
      <c r="V27" s="699" t="s">
        <v>18</v>
      </c>
      <c r="W27" s="700">
        <f t="shared" si="14"/>
        <v>100</v>
      </c>
      <c r="X27" s="701"/>
      <c r="Y27" s="373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41"/>
      <c r="Q28" s="1350">
        <f t="shared" si="11"/>
        <v>111</v>
      </c>
      <c r="R28" s="703" t="s">
        <v>18</v>
      </c>
      <c r="S28" s="704">
        <f t="shared" si="12"/>
        <v>100</v>
      </c>
      <c r="T28" s="703" t="s">
        <v>18</v>
      </c>
      <c r="U28" s="704">
        <f t="shared" si="13"/>
        <v>100</v>
      </c>
      <c r="V28" s="703" t="s">
        <v>18</v>
      </c>
      <c r="W28" s="704">
        <f t="shared" si="14"/>
        <v>100</v>
      </c>
      <c r="X28" s="1353"/>
      <c r="Y28" s="373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41"/>
      <c r="Q29" s="1350">
        <f t="shared" si="11"/>
        <v>111</v>
      </c>
      <c r="R29" s="703" t="s">
        <v>18</v>
      </c>
      <c r="S29" s="704">
        <f t="shared" si="12"/>
        <v>100</v>
      </c>
      <c r="T29" s="703" t="s">
        <v>18</v>
      </c>
      <c r="U29" s="704">
        <f t="shared" si="13"/>
        <v>100</v>
      </c>
      <c r="V29" s="703" t="s">
        <v>18</v>
      </c>
      <c r="W29" s="704">
        <f t="shared" si="14"/>
        <v>100</v>
      </c>
      <c r="X29" s="1353"/>
      <c r="Y29" s="373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41"/>
      <c r="Q30" s="1350">
        <f t="shared" si="11"/>
        <v>111</v>
      </c>
      <c r="R30" s="703" t="s">
        <v>18</v>
      </c>
      <c r="S30" s="704">
        <f t="shared" si="12"/>
        <v>100</v>
      </c>
      <c r="T30" s="703" t="s">
        <v>18</v>
      </c>
      <c r="U30" s="704">
        <f t="shared" si="13"/>
        <v>100</v>
      </c>
      <c r="V30" s="703" t="s">
        <v>18</v>
      </c>
      <c r="W30" s="704">
        <f t="shared" si="14"/>
        <v>100</v>
      </c>
      <c r="X30" s="1353"/>
      <c r="Y30" s="373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41"/>
      <c r="Q31" s="1350">
        <f t="shared" si="11"/>
        <v>111</v>
      </c>
      <c r="R31" s="703" t="s">
        <v>18</v>
      </c>
      <c r="S31" s="704">
        <f t="shared" si="12"/>
        <v>100</v>
      </c>
      <c r="T31" s="703" t="s">
        <v>18</v>
      </c>
      <c r="U31" s="704">
        <f t="shared" si="13"/>
        <v>100</v>
      </c>
      <c r="V31" s="703" t="s">
        <v>18</v>
      </c>
      <c r="W31" s="704">
        <f t="shared" si="14"/>
        <v>100</v>
      </c>
      <c r="X31" s="1353"/>
      <c r="Y31" s="3734"/>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35" t="s">
        <v>1694</v>
      </c>
      <c r="Q32" s="1350" t="str">
        <f t="shared" si="11"/>
        <v>建筑类型</v>
      </c>
      <c r="R32" s="703" t="s">
        <v>18</v>
      </c>
      <c r="S32" s="704">
        <f t="shared" si="12"/>
        <v>100</v>
      </c>
      <c r="T32" s="703" t="s">
        <v>18</v>
      </c>
      <c r="U32" s="704">
        <f t="shared" si="13"/>
        <v>100</v>
      </c>
      <c r="V32" s="703" t="s">
        <v>18</v>
      </c>
      <c r="W32" s="704">
        <f t="shared" si="14"/>
        <v>100</v>
      </c>
      <c r="X32" s="1353"/>
      <c r="Y32" s="3738"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36"/>
      <c r="Q33" s="705" t="str">
        <f t="shared" si="11"/>
        <v>项目建筑规模</v>
      </c>
      <c r="R33" s="706" t="s">
        <v>18</v>
      </c>
      <c r="S33" s="707" t="e">
        <f t="shared" si="12"/>
        <v>#N/A</v>
      </c>
      <c r="T33" s="706" t="s">
        <v>18</v>
      </c>
      <c r="U33" s="707" t="e">
        <f t="shared" si="13"/>
        <v>#N/A</v>
      </c>
      <c r="V33" s="706" t="s">
        <v>18</v>
      </c>
      <c r="W33" s="707" t="e">
        <f t="shared" si="14"/>
        <v>#N/A</v>
      </c>
      <c r="X33" s="708"/>
      <c r="Y33" s="3738"/>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36"/>
      <c r="Q34" s="1350" t="str">
        <f t="shared" si="11"/>
        <v>建筑结构</v>
      </c>
      <c r="R34" s="703" t="s">
        <v>18</v>
      </c>
      <c r="S34" s="704">
        <f t="shared" si="12"/>
        <v>100</v>
      </c>
      <c r="T34" s="703" t="s">
        <v>18</v>
      </c>
      <c r="U34" s="704">
        <f t="shared" si="13"/>
        <v>100</v>
      </c>
      <c r="V34" s="703" t="s">
        <v>18</v>
      </c>
      <c r="W34" s="704">
        <f t="shared" si="14"/>
        <v>100</v>
      </c>
      <c r="X34" s="1353"/>
      <c r="Y34" s="3738"/>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36"/>
      <c r="Q35" s="1350" t="str">
        <f t="shared" si="11"/>
        <v>建筑品质</v>
      </c>
      <c r="R35" s="703" t="s">
        <v>18</v>
      </c>
      <c r="S35" s="704">
        <f t="shared" si="12"/>
        <v>100</v>
      </c>
      <c r="T35" s="703" t="s">
        <v>18</v>
      </c>
      <c r="U35" s="704">
        <f t="shared" si="13"/>
        <v>100</v>
      </c>
      <c r="V35" s="703" t="s">
        <v>18</v>
      </c>
      <c r="W35" s="704">
        <f t="shared" si="14"/>
        <v>100</v>
      </c>
      <c r="X35" s="1353"/>
      <c r="Y35" s="3738"/>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36"/>
      <c r="Q36" s="1350" t="str">
        <f t="shared" si="11"/>
        <v>公共部分装修</v>
      </c>
      <c r="R36" s="703" t="s">
        <v>18</v>
      </c>
      <c r="S36" s="704">
        <f t="shared" si="12"/>
        <v>100</v>
      </c>
      <c r="T36" s="703" t="s">
        <v>18</v>
      </c>
      <c r="U36" s="704">
        <f t="shared" si="13"/>
        <v>100</v>
      </c>
      <c r="V36" s="703" t="s">
        <v>18</v>
      </c>
      <c r="W36" s="704">
        <f t="shared" si="14"/>
        <v>100</v>
      </c>
      <c r="X36" s="1353"/>
      <c r="Y36" s="3738"/>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36"/>
      <c r="Q37" s="1341" t="str">
        <f t="shared" si="11"/>
        <v>成新度</v>
      </c>
      <c r="R37" s="699" t="s">
        <v>18</v>
      </c>
      <c r="S37" s="700" t="e">
        <f t="shared" si="12"/>
        <v>#N/A</v>
      </c>
      <c r="T37" s="699" t="s">
        <v>18</v>
      </c>
      <c r="U37" s="700" t="e">
        <f t="shared" si="13"/>
        <v>#N/A</v>
      </c>
      <c r="V37" s="699" t="s">
        <v>18</v>
      </c>
      <c r="W37" s="700" t="e">
        <f t="shared" si="14"/>
        <v>#N/A</v>
      </c>
      <c r="X37" s="701"/>
      <c r="Y37" s="3738"/>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36" t="s">
        <v>1694</v>
      </c>
      <c r="Q38" s="1350" t="str">
        <f t="shared" si="11"/>
        <v>物业管理</v>
      </c>
      <c r="R38" s="703" t="s">
        <v>18</v>
      </c>
      <c r="S38" s="704">
        <f t="shared" si="12"/>
        <v>100</v>
      </c>
      <c r="T38" s="703" t="s">
        <v>18</v>
      </c>
      <c r="U38" s="704">
        <f t="shared" si="13"/>
        <v>100</v>
      </c>
      <c r="V38" s="703" t="s">
        <v>18</v>
      </c>
      <c r="W38" s="704">
        <f t="shared" si="14"/>
        <v>100</v>
      </c>
      <c r="X38" s="1353"/>
      <c r="Y38" s="3738"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36"/>
      <c r="Q39" s="1350" t="str">
        <f t="shared" si="11"/>
        <v>市政基础设施</v>
      </c>
      <c r="R39" s="703" t="s">
        <v>18</v>
      </c>
      <c r="S39" s="704">
        <f t="shared" si="12"/>
        <v>100</v>
      </c>
      <c r="T39" s="703" t="s">
        <v>18</v>
      </c>
      <c r="U39" s="704">
        <f t="shared" si="13"/>
        <v>100</v>
      </c>
      <c r="V39" s="703" t="s">
        <v>18</v>
      </c>
      <c r="W39" s="704">
        <f t="shared" si="14"/>
        <v>100</v>
      </c>
      <c r="X39" s="1353"/>
      <c r="Y39" s="3738"/>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36"/>
      <c r="Q40" s="1350" t="str">
        <f t="shared" si="11"/>
        <v>房型</v>
      </c>
      <c r="R40" s="703" t="s">
        <v>18</v>
      </c>
      <c r="S40" s="704">
        <f t="shared" si="12"/>
        <v>100</v>
      </c>
      <c r="T40" s="703" t="s">
        <v>18</v>
      </c>
      <c r="U40" s="704">
        <f t="shared" si="13"/>
        <v>100</v>
      </c>
      <c r="V40" s="703" t="s">
        <v>18</v>
      </c>
      <c r="W40" s="704">
        <f t="shared" si="14"/>
        <v>100</v>
      </c>
      <c r="X40" s="1353"/>
      <c r="Y40" s="3738"/>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36"/>
      <c r="Q41" s="705" t="str">
        <f t="shared" si="11"/>
        <v>单套/主力户型建筑面积</v>
      </c>
      <c r="R41" s="706" t="s">
        <v>18</v>
      </c>
      <c r="S41" s="707">
        <f t="shared" si="12"/>
        <v>100</v>
      </c>
      <c r="T41" s="706" t="s">
        <v>18</v>
      </c>
      <c r="U41" s="707">
        <f t="shared" si="13"/>
        <v>100</v>
      </c>
      <c r="V41" s="706" t="s">
        <v>18</v>
      </c>
      <c r="W41" s="707">
        <f t="shared" si="14"/>
        <v>100</v>
      </c>
      <c r="X41" s="708"/>
      <c r="Y41" s="3738"/>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36"/>
      <c r="Q42" s="1350" t="str">
        <f t="shared" si="11"/>
        <v>内部装修</v>
      </c>
      <c r="R42" s="703" t="s">
        <v>18</v>
      </c>
      <c r="S42" s="704">
        <f t="shared" si="12"/>
        <v>100</v>
      </c>
      <c r="T42" s="703" t="s">
        <v>18</v>
      </c>
      <c r="U42" s="704">
        <f t="shared" si="13"/>
        <v>100</v>
      </c>
      <c r="V42" s="703" t="s">
        <v>18</v>
      </c>
      <c r="W42" s="704">
        <f t="shared" si="14"/>
        <v>100</v>
      </c>
      <c r="X42" s="1353"/>
      <c r="Y42" s="3738"/>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36"/>
      <c r="Q43" s="1350" t="str">
        <f t="shared" si="11"/>
        <v>内部装修维护情况</v>
      </c>
      <c r="R43" s="703" t="s">
        <v>18</v>
      </c>
      <c r="S43" s="704">
        <f t="shared" si="12"/>
        <v>100</v>
      </c>
      <c r="T43" s="703" t="s">
        <v>18</v>
      </c>
      <c r="U43" s="704">
        <f t="shared" si="13"/>
        <v>100</v>
      </c>
      <c r="V43" s="703" t="s">
        <v>18</v>
      </c>
      <c r="W43" s="704">
        <f t="shared" si="14"/>
        <v>100</v>
      </c>
      <c r="X43" s="1353"/>
      <c r="Y43" s="373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36"/>
      <c r="Q44" s="1341">
        <f t="shared" si="11"/>
        <v>111</v>
      </c>
      <c r="R44" s="699" t="s">
        <v>18</v>
      </c>
      <c r="S44" s="700">
        <f t="shared" si="12"/>
        <v>100</v>
      </c>
      <c r="T44" s="699" t="s">
        <v>18</v>
      </c>
      <c r="U44" s="700">
        <f t="shared" si="13"/>
        <v>100</v>
      </c>
      <c r="V44" s="699" t="s">
        <v>18</v>
      </c>
      <c r="W44" s="700">
        <f t="shared" si="14"/>
        <v>100</v>
      </c>
      <c r="X44" s="701"/>
      <c r="Y44" s="373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36"/>
      <c r="Q45" s="1350">
        <f t="shared" si="11"/>
        <v>111</v>
      </c>
      <c r="R45" s="703" t="s">
        <v>18</v>
      </c>
      <c r="S45" s="704">
        <f t="shared" si="12"/>
        <v>100</v>
      </c>
      <c r="T45" s="703" t="s">
        <v>18</v>
      </c>
      <c r="U45" s="704">
        <f t="shared" si="13"/>
        <v>100</v>
      </c>
      <c r="V45" s="703" t="s">
        <v>18</v>
      </c>
      <c r="W45" s="704">
        <f t="shared" si="14"/>
        <v>100</v>
      </c>
      <c r="X45" s="1353"/>
      <c r="Y45" s="373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37"/>
      <c r="Q46" s="1350">
        <f t="shared" si="11"/>
        <v>111</v>
      </c>
      <c r="R46" s="703" t="s">
        <v>17</v>
      </c>
      <c r="S46" s="704">
        <f t="shared" si="12"/>
        <v>100</v>
      </c>
      <c r="T46" s="703" t="s">
        <v>17</v>
      </c>
      <c r="U46" s="704">
        <f t="shared" si="13"/>
        <v>100</v>
      </c>
      <c r="V46" s="703" t="s">
        <v>17</v>
      </c>
      <c r="W46" s="704">
        <f t="shared" si="14"/>
        <v>100</v>
      </c>
      <c r="X46" s="1353"/>
      <c r="Y46" s="3739"/>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8"/>
      <c r="M47" s="2719"/>
      <c r="N47" s="2710"/>
      <c r="O47" s="2719"/>
      <c r="P47" s="3731" t="str">
        <f>A47</f>
        <v>成交单价（元/平方米）</v>
      </c>
      <c r="Q47" s="3731"/>
      <c r="R47" s="3732">
        <f>E47</f>
        <v>0</v>
      </c>
      <c r="S47" s="3732"/>
      <c r="T47" s="3732">
        <f>G47</f>
        <v>0</v>
      </c>
      <c r="U47" s="3732"/>
      <c r="V47" s="3732">
        <f>I47</f>
        <v>0</v>
      </c>
      <c r="W47" s="3732"/>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8"/>
      <c r="M48" s="2719"/>
      <c r="N48" s="2719"/>
      <c r="O48" s="2719"/>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8"/>
      <c r="M49" s="2719"/>
      <c r="N49" s="2719"/>
      <c r="O49" s="2719"/>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2"/>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1286.47</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1767</v>
      </c>
      <c r="B4" s="356"/>
      <c r="C4" s="3714" t="s">
        <v>1768</v>
      </c>
      <c r="D4" s="3715"/>
      <c r="E4" s="3716" t="s">
        <v>1769</v>
      </c>
      <c r="F4" s="3717"/>
      <c r="G4" s="3714" t="s">
        <v>1770</v>
      </c>
      <c r="H4" s="3715"/>
      <c r="I4" s="3714" t="s">
        <v>1771</v>
      </c>
      <c r="J4" s="3715"/>
      <c r="K4" s="559" t="s">
        <v>1772</v>
      </c>
      <c r="L4" s="2709"/>
      <c r="M4" s="2710"/>
      <c r="N4" s="2710"/>
      <c r="O4" s="2710"/>
      <c r="P4" s="3718" t="s">
        <v>1773</v>
      </c>
      <c r="Q4" s="3719"/>
      <c r="R4" s="3701" t="s">
        <v>1769</v>
      </c>
      <c r="S4" s="3702"/>
      <c r="T4" s="3701" t="s">
        <v>1770</v>
      </c>
      <c r="U4" s="3702"/>
      <c r="V4" s="3726" t="s">
        <v>1771</v>
      </c>
      <c r="W4" s="3726"/>
      <c r="X4" s="1353"/>
      <c r="Y4" s="3701" t="s">
        <v>1773</v>
      </c>
      <c r="Z4" s="3702"/>
      <c r="AA4" s="3696" t="s">
        <v>1769</v>
      </c>
      <c r="AB4" s="3726" t="s">
        <v>1770</v>
      </c>
      <c r="AC4" s="3696" t="s">
        <v>1771</v>
      </c>
    </row>
    <row r="5" spans="1:29" ht="15">
      <c r="A5" s="358"/>
      <c r="B5" s="359"/>
      <c r="C5" s="3707" t="s">
        <v>1671</v>
      </c>
      <c r="D5" s="3708"/>
      <c r="E5" s="3705" t="s">
        <v>1672</v>
      </c>
      <c r="F5" s="3706"/>
      <c r="G5" s="3707" t="s">
        <v>1673</v>
      </c>
      <c r="H5" s="3708"/>
      <c r="I5" s="3707" t="s">
        <v>1674</v>
      </c>
      <c r="J5" s="3708"/>
      <c r="K5" s="559"/>
      <c r="L5" s="2709"/>
      <c r="M5" s="2710"/>
      <c r="N5" s="2710"/>
      <c r="O5" s="2710"/>
      <c r="P5" s="3720"/>
      <c r="Q5" s="3721"/>
      <c r="R5" s="3703"/>
      <c r="S5" s="3704"/>
      <c r="T5" s="3703"/>
      <c r="U5" s="3704"/>
      <c r="V5" s="3726"/>
      <c r="W5" s="3726"/>
      <c r="X5" s="1353"/>
      <c r="Y5" s="3703"/>
      <c r="Z5" s="3704"/>
      <c r="AA5" s="3697"/>
      <c r="AB5" s="3726"/>
      <c r="AC5" s="3697"/>
    </row>
    <row r="6" spans="1:29" ht="15.75" thickBot="1">
      <c r="A6" s="360"/>
      <c r="B6" s="361"/>
      <c r="C6" s="3709" t="s">
        <v>1675</v>
      </c>
      <c r="D6" s="3710"/>
      <c r="E6" s="3711" t="s">
        <v>1675</v>
      </c>
      <c r="F6" s="3712"/>
      <c r="G6" s="3709" t="s">
        <v>1675</v>
      </c>
      <c r="H6" s="3710"/>
      <c r="I6" s="3709" t="s">
        <v>1675</v>
      </c>
      <c r="J6" s="3710"/>
      <c r="K6" s="559" t="s">
        <v>1676</v>
      </c>
      <c r="L6" s="2709"/>
      <c r="M6" s="2710"/>
      <c r="N6" s="2710"/>
      <c r="O6" s="2710"/>
      <c r="P6" s="3722"/>
      <c r="Q6" s="3723"/>
      <c r="R6" s="3703"/>
      <c r="S6" s="3704"/>
      <c r="T6" s="3724"/>
      <c r="U6" s="3725"/>
      <c r="V6" s="3726"/>
      <c r="W6" s="3726"/>
      <c r="X6" s="1353"/>
      <c r="Y6" s="3724"/>
      <c r="Z6" s="3725"/>
      <c r="AA6" s="3698"/>
      <c r="AB6" s="3726"/>
      <c r="AC6" s="3698"/>
    </row>
    <row r="7" spans="1:29" s="108" customFormat="1" ht="15.75" thickBot="1">
      <c r="A7" s="362" t="s">
        <v>1677</v>
      </c>
      <c r="B7" s="363"/>
      <c r="C7" s="364">
        <f>'数据-取费表'!B2</f>
        <v>44965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9" t="s">
        <v>1678</v>
      </c>
      <c r="Q7" s="3727"/>
      <c r="R7" s="699" t="s">
        <v>14</v>
      </c>
      <c r="S7" s="700">
        <f t="shared" ref="S7:S15" si="0">F7</f>
        <v>0</v>
      </c>
      <c r="T7" s="699" t="s">
        <v>14</v>
      </c>
      <c r="U7" s="700">
        <f t="shared" ref="U7:U15" si="1">H7</f>
        <v>0</v>
      </c>
      <c r="V7" s="699" t="s">
        <v>14</v>
      </c>
      <c r="W7" s="700">
        <f t="shared" ref="W7:W15" si="2">J7</f>
        <v>0</v>
      </c>
      <c r="X7" s="701"/>
      <c r="Y7" s="3699" t="s">
        <v>1678</v>
      </c>
      <c r="Z7" s="3700"/>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9" t="s">
        <v>1681</v>
      </c>
      <c r="Q8" s="3700"/>
      <c r="R8" s="699" t="s">
        <v>14</v>
      </c>
      <c r="S8" s="700">
        <f t="shared" si="0"/>
        <v>100</v>
      </c>
      <c r="T8" s="699" t="s">
        <v>14</v>
      </c>
      <c r="U8" s="700">
        <f t="shared" si="1"/>
        <v>100</v>
      </c>
      <c r="V8" s="699" t="s">
        <v>14</v>
      </c>
      <c r="W8" s="700">
        <f t="shared" si="2"/>
        <v>100</v>
      </c>
      <c r="X8" s="701"/>
      <c r="Y8" s="3699" t="s">
        <v>1681</v>
      </c>
      <c r="Z8" s="3700"/>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13" t="s">
        <v>1684</v>
      </c>
      <c r="Q9" s="1341" t="str">
        <f t="shared" ref="Q9:Q15" si="6">B9</f>
        <v>用途</v>
      </c>
      <c r="R9" s="699" t="s">
        <v>14</v>
      </c>
      <c r="S9" s="700">
        <f t="shared" si="0"/>
        <v>100</v>
      </c>
      <c r="T9" s="699" t="s">
        <v>14</v>
      </c>
      <c r="U9" s="700">
        <f t="shared" si="1"/>
        <v>100</v>
      </c>
      <c r="V9" s="699" t="s">
        <v>14</v>
      </c>
      <c r="W9" s="700">
        <f t="shared" si="2"/>
        <v>100</v>
      </c>
      <c r="X9" s="701"/>
      <c r="Y9" s="3646" t="s">
        <v>1685</v>
      </c>
      <c r="Z9" s="52" t="str">
        <f t="shared" ref="Z9:Z15" si="7">Q9</f>
        <v>用途</v>
      </c>
      <c r="AA9" s="702">
        <f t="shared" si="3"/>
        <v>1</v>
      </c>
      <c r="AB9" s="702">
        <f t="shared" si="4"/>
        <v>1</v>
      </c>
      <c r="AC9" s="702">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560"/>
      <c r="L10" s="2713"/>
      <c r="M10" s="2714"/>
      <c r="N10" s="2714"/>
      <c r="O10" s="2714"/>
      <c r="P10" s="3713"/>
      <c r="Q10" s="1341" t="str">
        <f t="shared" si="6"/>
        <v>土地使用年限（年）</v>
      </c>
      <c r="R10" s="699" t="s">
        <v>14</v>
      </c>
      <c r="S10" s="700">
        <f t="shared" si="0"/>
        <v>100</v>
      </c>
      <c r="T10" s="699" t="s">
        <v>14</v>
      </c>
      <c r="U10" s="700">
        <f t="shared" si="1"/>
        <v>100</v>
      </c>
      <c r="V10" s="699" t="s">
        <v>14</v>
      </c>
      <c r="W10" s="700">
        <f t="shared" si="2"/>
        <v>100</v>
      </c>
      <c r="X10" s="701"/>
      <c r="Y10" s="3646"/>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13"/>
      <c r="Q11" s="1341" t="str">
        <f t="shared" si="6"/>
        <v>容积率</v>
      </c>
      <c r="R11" s="699" t="s">
        <v>14</v>
      </c>
      <c r="S11" s="700" t="e">
        <f t="shared" si="0"/>
        <v>#N/A</v>
      </c>
      <c r="T11" s="699" t="s">
        <v>14</v>
      </c>
      <c r="U11" s="700" t="e">
        <f t="shared" si="1"/>
        <v>#N/A</v>
      </c>
      <c r="V11" s="699" t="s">
        <v>14</v>
      </c>
      <c r="W11" s="700" t="e">
        <f t="shared" si="2"/>
        <v>#N/A</v>
      </c>
      <c r="X11" s="701"/>
      <c r="Y11" s="36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3"/>
      <c r="Q12" s="1341">
        <f t="shared" si="6"/>
        <v>111</v>
      </c>
      <c r="R12" s="699" t="s">
        <v>14</v>
      </c>
      <c r="S12" s="700">
        <f t="shared" si="0"/>
        <v>100</v>
      </c>
      <c r="T12" s="699" t="s">
        <v>14</v>
      </c>
      <c r="U12" s="700">
        <f t="shared" si="1"/>
        <v>100</v>
      </c>
      <c r="V12" s="699" t="s">
        <v>14</v>
      </c>
      <c r="W12" s="700">
        <f t="shared" si="2"/>
        <v>100</v>
      </c>
      <c r="X12" s="701"/>
      <c r="Y12" s="36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3"/>
      <c r="Q13" s="1341">
        <f t="shared" si="6"/>
        <v>111</v>
      </c>
      <c r="R13" s="699" t="s">
        <v>14</v>
      </c>
      <c r="S13" s="700">
        <f t="shared" si="0"/>
        <v>100</v>
      </c>
      <c r="T13" s="699" t="s">
        <v>14</v>
      </c>
      <c r="U13" s="700">
        <f t="shared" si="1"/>
        <v>100</v>
      </c>
      <c r="V13" s="699" t="s">
        <v>14</v>
      </c>
      <c r="W13" s="700">
        <f t="shared" si="2"/>
        <v>100</v>
      </c>
      <c r="X13" s="701"/>
      <c r="Y13" s="36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3"/>
      <c r="Q14" s="1341">
        <f t="shared" si="6"/>
        <v>111</v>
      </c>
      <c r="R14" s="699" t="s">
        <v>14</v>
      </c>
      <c r="S14" s="700">
        <f t="shared" si="0"/>
        <v>100</v>
      </c>
      <c r="T14" s="699" t="s">
        <v>14</v>
      </c>
      <c r="U14" s="700">
        <f t="shared" si="1"/>
        <v>100</v>
      </c>
      <c r="V14" s="699" t="s">
        <v>14</v>
      </c>
      <c r="W14" s="700">
        <f t="shared" si="2"/>
        <v>100</v>
      </c>
      <c r="X14" s="701"/>
      <c r="Y14" s="3646"/>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40" t="s">
        <v>1689</v>
      </c>
      <c r="Q15" s="1350" t="str">
        <f t="shared" si="6"/>
        <v>商业繁华度</v>
      </c>
      <c r="R15" s="703" t="s">
        <v>14</v>
      </c>
      <c r="S15" s="704">
        <f t="shared" si="0"/>
        <v>100</v>
      </c>
      <c r="T15" s="703" t="s">
        <v>14</v>
      </c>
      <c r="U15" s="704">
        <f t="shared" si="1"/>
        <v>100</v>
      </c>
      <c r="V15" s="703" t="s">
        <v>14</v>
      </c>
      <c r="W15" s="704">
        <f t="shared" si="2"/>
        <v>100</v>
      </c>
      <c r="X15" s="1353"/>
      <c r="Y15" s="3733"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41"/>
      <c r="Q16" s="1350"/>
      <c r="R16" s="703"/>
      <c r="S16" s="704"/>
      <c r="T16" s="703"/>
      <c r="U16" s="704"/>
      <c r="V16" s="703"/>
      <c r="W16" s="704"/>
      <c r="X16" s="1353"/>
      <c r="Y16" s="3734"/>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41"/>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41"/>
      <c r="Q18" s="1350"/>
      <c r="R18" s="703"/>
      <c r="S18" s="704"/>
      <c r="T18" s="703"/>
      <c r="U18" s="704"/>
      <c r="V18" s="703"/>
      <c r="W18" s="704"/>
      <c r="X18" s="1353"/>
      <c r="Y18" s="3734"/>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41"/>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41"/>
      <c r="Q20" s="1350"/>
      <c r="R20" s="703"/>
      <c r="S20" s="704"/>
      <c r="T20" s="703"/>
      <c r="U20" s="704"/>
      <c r="V20" s="703"/>
      <c r="W20" s="704"/>
      <c r="X20" s="1353"/>
      <c r="Y20" s="3734"/>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41"/>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41"/>
      <c r="Q22" s="1350"/>
      <c r="R22" s="703"/>
      <c r="S22" s="704"/>
      <c r="T22" s="703"/>
      <c r="U22" s="704"/>
      <c r="V22" s="703"/>
      <c r="W22" s="704"/>
      <c r="X22" s="1353"/>
      <c r="Y22" s="3734"/>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41"/>
      <c r="Q23" s="1350" t="str">
        <f>B23</f>
        <v>自然及人文环境</v>
      </c>
      <c r="R23" s="703" t="s">
        <v>14</v>
      </c>
      <c r="S23" s="704">
        <f>F23</f>
        <v>100</v>
      </c>
      <c r="T23" s="703" t="s">
        <v>14</v>
      </c>
      <c r="U23" s="704">
        <f>H23</f>
        <v>100</v>
      </c>
      <c r="V23" s="703" t="s">
        <v>14</v>
      </c>
      <c r="W23" s="704">
        <f>J23</f>
        <v>100</v>
      </c>
      <c r="X23" s="1353"/>
      <c r="Y23" s="373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41"/>
      <c r="Q24" s="1350"/>
      <c r="R24" s="703"/>
      <c r="S24" s="704"/>
      <c r="T24" s="703"/>
      <c r="U24" s="704"/>
      <c r="V24" s="703"/>
      <c r="W24" s="704"/>
      <c r="X24" s="1353"/>
      <c r="Y24" s="3734"/>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41"/>
      <c r="Q25" s="1350" t="str">
        <f t="shared" ref="Q25:Q46" si="11">B25</f>
        <v>临街状况</v>
      </c>
      <c r="R25" s="703" t="s">
        <v>14</v>
      </c>
      <c r="S25" s="704">
        <f>F25</f>
        <v>100</v>
      </c>
      <c r="T25" s="703" t="s">
        <v>14</v>
      </c>
      <c r="U25" s="704">
        <f>H25</f>
        <v>100</v>
      </c>
      <c r="V25" s="703" t="s">
        <v>14</v>
      </c>
      <c r="W25" s="704">
        <f>J25</f>
        <v>100</v>
      </c>
      <c r="X25" s="1353"/>
      <c r="Y25" s="3734"/>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41"/>
      <c r="Q26" s="1350" t="str">
        <f t="shared" si="11"/>
        <v>平面位置/可视性</v>
      </c>
      <c r="R26" s="703" t="s">
        <v>14</v>
      </c>
      <c r="S26" s="704">
        <f>F26</f>
        <v>100</v>
      </c>
      <c r="T26" s="703" t="s">
        <v>14</v>
      </c>
      <c r="U26" s="704">
        <f>H26</f>
        <v>100</v>
      </c>
      <c r="V26" s="703" t="s">
        <v>14</v>
      </c>
      <c r="W26" s="704">
        <f>J26</f>
        <v>100</v>
      </c>
      <c r="X26" s="1353"/>
      <c r="Y26" s="3734"/>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41"/>
      <c r="Q27" s="1341" t="str">
        <f t="shared" si="11"/>
        <v>人流量</v>
      </c>
      <c r="R27" s="699" t="s">
        <v>14</v>
      </c>
      <c r="S27" s="700">
        <f>F27</f>
        <v>100</v>
      </c>
      <c r="T27" s="699" t="s">
        <v>14</v>
      </c>
      <c r="U27" s="700">
        <f>H27</f>
        <v>100</v>
      </c>
      <c r="V27" s="699" t="s">
        <v>14</v>
      </c>
      <c r="W27" s="700">
        <f>J27</f>
        <v>100</v>
      </c>
      <c r="X27" s="701"/>
      <c r="Y27" s="3734"/>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4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41"/>
      <c r="Q29" s="1350">
        <f t="shared" si="11"/>
        <v>111</v>
      </c>
      <c r="R29" s="703" t="s">
        <v>14</v>
      </c>
      <c r="S29" s="704">
        <f t="shared" si="12"/>
        <v>100</v>
      </c>
      <c r="T29" s="703" t="s">
        <v>14</v>
      </c>
      <c r="U29" s="704">
        <f t="shared" si="13"/>
        <v>100</v>
      </c>
      <c r="V29" s="703" t="s">
        <v>14</v>
      </c>
      <c r="W29" s="704">
        <f t="shared" si="14"/>
        <v>100</v>
      </c>
      <c r="X29" s="1353"/>
      <c r="Y29" s="373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41"/>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41"/>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35" t="s">
        <v>1694</v>
      </c>
      <c r="Q32" s="1350" t="str">
        <f t="shared" si="11"/>
        <v>商业类型</v>
      </c>
      <c r="R32" s="703" t="s">
        <v>14</v>
      </c>
      <c r="S32" s="704">
        <f t="shared" si="12"/>
        <v>100</v>
      </c>
      <c r="T32" s="703" t="s">
        <v>14</v>
      </c>
      <c r="U32" s="704">
        <f t="shared" si="13"/>
        <v>100</v>
      </c>
      <c r="V32" s="703" t="s">
        <v>14</v>
      </c>
      <c r="W32" s="704">
        <f t="shared" si="14"/>
        <v>100</v>
      </c>
      <c r="X32" s="1353"/>
      <c r="Y32" s="3738"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36"/>
      <c r="Q33" s="705" t="str">
        <f t="shared" si="11"/>
        <v>项目建筑规模</v>
      </c>
      <c r="R33" s="706" t="s">
        <v>14</v>
      </c>
      <c r="S33" s="707" t="e">
        <f t="shared" si="12"/>
        <v>#N/A</v>
      </c>
      <c r="T33" s="706" t="s">
        <v>14</v>
      </c>
      <c r="U33" s="707" t="e">
        <f t="shared" si="13"/>
        <v>#N/A</v>
      </c>
      <c r="V33" s="706" t="s">
        <v>14</v>
      </c>
      <c r="W33" s="707" t="e">
        <f t="shared" si="14"/>
        <v>#N/A</v>
      </c>
      <c r="X33" s="708"/>
      <c r="Y33" s="3738"/>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36"/>
      <c r="Q34" s="1350" t="str">
        <f t="shared" si="11"/>
        <v>建筑结构</v>
      </c>
      <c r="R34" s="703" t="s">
        <v>14</v>
      </c>
      <c r="S34" s="704">
        <f t="shared" si="12"/>
        <v>100</v>
      </c>
      <c r="T34" s="703" t="s">
        <v>14</v>
      </c>
      <c r="U34" s="704">
        <f t="shared" si="13"/>
        <v>100</v>
      </c>
      <c r="V34" s="703" t="s">
        <v>14</v>
      </c>
      <c r="W34" s="704">
        <f t="shared" si="14"/>
        <v>100</v>
      </c>
      <c r="X34" s="1353"/>
      <c r="Y34" s="3738"/>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36"/>
      <c r="Q35" s="1350" t="str">
        <f t="shared" si="11"/>
        <v>公共部分装修</v>
      </c>
      <c r="R35" s="703" t="s">
        <v>14</v>
      </c>
      <c r="S35" s="704">
        <f t="shared" si="12"/>
        <v>100</v>
      </c>
      <c r="T35" s="703" t="s">
        <v>14</v>
      </c>
      <c r="U35" s="704">
        <f t="shared" si="13"/>
        <v>100</v>
      </c>
      <c r="V35" s="703" t="s">
        <v>14</v>
      </c>
      <c r="W35" s="704">
        <f t="shared" si="14"/>
        <v>100</v>
      </c>
      <c r="X35" s="1353"/>
      <c r="Y35" s="3738"/>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36"/>
      <c r="Q36" s="1350" t="str">
        <f t="shared" si="11"/>
        <v>成新度</v>
      </c>
      <c r="R36" s="703" t="s">
        <v>14</v>
      </c>
      <c r="S36" s="704" t="e">
        <f t="shared" si="12"/>
        <v>#N/A</v>
      </c>
      <c r="T36" s="703" t="s">
        <v>14</v>
      </c>
      <c r="U36" s="704" t="e">
        <f t="shared" si="13"/>
        <v>#N/A</v>
      </c>
      <c r="V36" s="703" t="s">
        <v>14</v>
      </c>
      <c r="W36" s="704" t="e">
        <f t="shared" si="14"/>
        <v>#N/A</v>
      </c>
      <c r="X36" s="1353"/>
      <c r="Y36" s="3738"/>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36"/>
      <c r="Q37" s="1341" t="str">
        <f t="shared" si="11"/>
        <v>市政基础设施</v>
      </c>
      <c r="R37" s="699" t="s">
        <v>14</v>
      </c>
      <c r="S37" s="700">
        <f t="shared" si="12"/>
        <v>100</v>
      </c>
      <c r="T37" s="699" t="s">
        <v>14</v>
      </c>
      <c r="U37" s="700">
        <f t="shared" si="13"/>
        <v>100</v>
      </c>
      <c r="V37" s="699" t="s">
        <v>14</v>
      </c>
      <c r="W37" s="700">
        <f t="shared" si="14"/>
        <v>100</v>
      </c>
      <c r="X37" s="701"/>
      <c r="Y37" s="3738"/>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36" t="s">
        <v>1694</v>
      </c>
      <c r="Q38" s="1350" t="str">
        <f t="shared" si="11"/>
        <v>业态</v>
      </c>
      <c r="R38" s="703" t="s">
        <v>14</v>
      </c>
      <c r="S38" s="704">
        <f t="shared" si="12"/>
        <v>100</v>
      </c>
      <c r="T38" s="703" t="s">
        <v>14</v>
      </c>
      <c r="U38" s="704">
        <f t="shared" si="13"/>
        <v>100</v>
      </c>
      <c r="V38" s="703" t="s">
        <v>14</v>
      </c>
      <c r="W38" s="704">
        <f t="shared" si="14"/>
        <v>100</v>
      </c>
      <c r="X38" s="1353"/>
      <c r="Y38" s="3738"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36"/>
      <c r="Q39" s="1350" t="str">
        <f t="shared" si="11"/>
        <v>层高</v>
      </c>
      <c r="R39" s="703" t="s">
        <v>14</v>
      </c>
      <c r="S39" s="704">
        <f t="shared" si="12"/>
        <v>100</v>
      </c>
      <c r="T39" s="703" t="s">
        <v>14</v>
      </c>
      <c r="U39" s="704">
        <f t="shared" si="13"/>
        <v>100</v>
      </c>
      <c r="V39" s="703" t="s">
        <v>14</v>
      </c>
      <c r="W39" s="704">
        <f t="shared" si="14"/>
        <v>100</v>
      </c>
      <c r="X39" s="1353"/>
      <c r="Y39" s="3738"/>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36"/>
      <c r="Q40" s="1350" t="str">
        <f t="shared" si="11"/>
        <v>单套建筑面积</v>
      </c>
      <c r="R40" s="703" t="s">
        <v>14</v>
      </c>
      <c r="S40" s="704">
        <f t="shared" si="12"/>
        <v>100</v>
      </c>
      <c r="T40" s="703" t="s">
        <v>14</v>
      </c>
      <c r="U40" s="704">
        <f t="shared" si="13"/>
        <v>100</v>
      </c>
      <c r="V40" s="703" t="s">
        <v>14</v>
      </c>
      <c r="W40" s="704">
        <f t="shared" si="14"/>
        <v>100</v>
      </c>
      <c r="X40" s="1353"/>
      <c r="Y40" s="3738"/>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36"/>
      <c r="Q41" s="705" t="str">
        <f t="shared" si="11"/>
        <v>进深比</v>
      </c>
      <c r="R41" s="706" t="s">
        <v>14</v>
      </c>
      <c r="S41" s="707">
        <f t="shared" si="12"/>
        <v>100</v>
      </c>
      <c r="T41" s="706" t="s">
        <v>14</v>
      </c>
      <c r="U41" s="707">
        <f t="shared" si="13"/>
        <v>100</v>
      </c>
      <c r="V41" s="706" t="s">
        <v>14</v>
      </c>
      <c r="W41" s="707">
        <f t="shared" si="14"/>
        <v>100</v>
      </c>
      <c r="X41" s="708"/>
      <c r="Y41" s="3738"/>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36"/>
      <c r="Q42" s="1350" t="str">
        <f t="shared" si="11"/>
        <v>内部装修</v>
      </c>
      <c r="R42" s="703" t="s">
        <v>14</v>
      </c>
      <c r="S42" s="704">
        <f t="shared" si="12"/>
        <v>100</v>
      </c>
      <c r="T42" s="703" t="s">
        <v>14</v>
      </c>
      <c r="U42" s="704">
        <f t="shared" si="13"/>
        <v>100</v>
      </c>
      <c r="V42" s="703" t="s">
        <v>14</v>
      </c>
      <c r="W42" s="704">
        <f t="shared" si="14"/>
        <v>100</v>
      </c>
      <c r="X42" s="1353"/>
      <c r="Y42" s="3738"/>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36"/>
      <c r="Q43" s="1350" t="str">
        <f t="shared" si="11"/>
        <v>内部装修维护情况</v>
      </c>
      <c r="R43" s="703" t="s">
        <v>14</v>
      </c>
      <c r="S43" s="704">
        <f t="shared" si="12"/>
        <v>100</v>
      </c>
      <c r="T43" s="703" t="s">
        <v>14</v>
      </c>
      <c r="U43" s="704">
        <f t="shared" si="13"/>
        <v>100</v>
      </c>
      <c r="V43" s="703" t="s">
        <v>14</v>
      </c>
      <c r="W43" s="704">
        <f t="shared" si="14"/>
        <v>100</v>
      </c>
      <c r="X43" s="1353"/>
      <c r="Y43" s="373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36"/>
      <c r="Q44" s="1341">
        <f t="shared" si="11"/>
        <v>111</v>
      </c>
      <c r="R44" s="699" t="s">
        <v>14</v>
      </c>
      <c r="S44" s="700">
        <f t="shared" si="12"/>
        <v>100</v>
      </c>
      <c r="T44" s="699" t="s">
        <v>14</v>
      </c>
      <c r="U44" s="700">
        <f t="shared" si="13"/>
        <v>100</v>
      </c>
      <c r="V44" s="699" t="s">
        <v>14</v>
      </c>
      <c r="W44" s="700">
        <f t="shared" si="14"/>
        <v>100</v>
      </c>
      <c r="X44" s="701"/>
      <c r="Y44" s="373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36"/>
      <c r="Q45" s="1350">
        <f t="shared" si="11"/>
        <v>111</v>
      </c>
      <c r="R45" s="703" t="s">
        <v>14</v>
      </c>
      <c r="S45" s="704">
        <f t="shared" si="12"/>
        <v>100</v>
      </c>
      <c r="T45" s="703" t="s">
        <v>14</v>
      </c>
      <c r="U45" s="704">
        <f t="shared" si="13"/>
        <v>100</v>
      </c>
      <c r="V45" s="703" t="s">
        <v>14</v>
      </c>
      <c r="W45" s="704">
        <f t="shared" si="14"/>
        <v>100</v>
      </c>
      <c r="X45" s="1353"/>
      <c r="Y45" s="373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37"/>
      <c r="Q46" s="1350">
        <f t="shared" si="11"/>
        <v>111</v>
      </c>
      <c r="R46" s="703" t="s">
        <v>14</v>
      </c>
      <c r="S46" s="704">
        <f t="shared" si="12"/>
        <v>100</v>
      </c>
      <c r="T46" s="703" t="s">
        <v>14</v>
      </c>
      <c r="U46" s="704">
        <f t="shared" si="13"/>
        <v>100</v>
      </c>
      <c r="V46" s="703" t="s">
        <v>14</v>
      </c>
      <c r="W46" s="704">
        <f t="shared" si="14"/>
        <v>100</v>
      </c>
      <c r="X46" s="1353"/>
      <c r="Y46" s="3739"/>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8"/>
      <c r="M47" s="2719"/>
      <c r="N47" s="2710"/>
      <c r="O47" s="2719"/>
      <c r="P47" s="3731" t="str">
        <f>A47</f>
        <v>成交单价（元/平方米）</v>
      </c>
      <c r="Q47" s="3731"/>
      <c r="R47" s="3726">
        <f>E47</f>
        <v>0</v>
      </c>
      <c r="S47" s="3726"/>
      <c r="T47" s="3726">
        <f>G47</f>
        <v>0</v>
      </c>
      <c r="U47" s="3726"/>
      <c r="V47" s="3726">
        <f>I47</f>
        <v>0</v>
      </c>
      <c r="W47" s="3726"/>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8"/>
      <c r="M48" s="2719"/>
      <c r="N48" s="2710"/>
      <c r="O48" s="2719"/>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8"/>
      <c r="M49" s="2719"/>
      <c r="N49" s="2710"/>
      <c r="O49" s="2719"/>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1796</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9"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4659.3370000000004</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36218</v>
      </c>
      <c r="C3" s="354" t="s">
        <v>1766</v>
      </c>
      <c r="D3" s="353">
        <f>IF(D1="",'数据-汇总表'!E3,SUMIF('数据-汇总表'!$C19:$C33,D1,'数据-汇总表'!$E19:$E33))</f>
        <v>1286.47</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1767</v>
      </c>
      <c r="B4" s="356"/>
      <c r="C4" s="3714" t="s">
        <v>1768</v>
      </c>
      <c r="D4" s="3715"/>
      <c r="E4" s="3716" t="s">
        <v>1769</v>
      </c>
      <c r="F4" s="3717"/>
      <c r="G4" s="3714" t="s">
        <v>1770</v>
      </c>
      <c r="H4" s="3715"/>
      <c r="I4" s="3714" t="s">
        <v>1771</v>
      </c>
      <c r="J4" s="3715"/>
      <c r="K4" s="559" t="s">
        <v>1772</v>
      </c>
      <c r="L4" s="2709"/>
      <c r="M4" s="2710"/>
      <c r="N4" s="2710"/>
      <c r="O4" s="2710"/>
      <c r="P4" s="3749" t="s">
        <v>1773</v>
      </c>
      <c r="Q4" s="3750"/>
      <c r="R4" s="3743" t="s">
        <v>1769</v>
      </c>
      <c r="S4" s="3744"/>
      <c r="T4" s="3743" t="s">
        <v>1770</v>
      </c>
      <c r="U4" s="3744"/>
      <c r="V4" s="3753" t="s">
        <v>1771</v>
      </c>
      <c r="W4" s="3753"/>
      <c r="X4" s="1956"/>
      <c r="Y4" s="3743" t="s">
        <v>1773</v>
      </c>
      <c r="Z4" s="3744"/>
      <c r="AA4" s="3742" t="s">
        <v>1769</v>
      </c>
      <c r="AB4" s="3742" t="s">
        <v>1770</v>
      </c>
      <c r="AC4" s="3746" t="s">
        <v>1771</v>
      </c>
    </row>
    <row r="5" spans="1:29" ht="15">
      <c r="A5" s="358"/>
      <c r="B5" s="359"/>
      <c r="C5" s="3707" t="s">
        <v>1671</v>
      </c>
      <c r="D5" s="3708"/>
      <c r="E5" s="3745" t="s">
        <v>3454</v>
      </c>
      <c r="F5" s="3706"/>
      <c r="G5" s="3745" t="s">
        <v>3454</v>
      </c>
      <c r="H5" s="3706"/>
      <c r="I5" s="3745" t="s">
        <v>3454</v>
      </c>
      <c r="J5" s="3706"/>
      <c r="K5" s="559"/>
      <c r="L5" s="2709"/>
      <c r="M5" s="2710"/>
      <c r="N5" s="2710"/>
      <c r="O5" s="2710"/>
      <c r="P5" s="3751"/>
      <c r="Q5" s="3721"/>
      <c r="R5" s="3703"/>
      <c r="S5" s="3704"/>
      <c r="T5" s="3703"/>
      <c r="U5" s="3704"/>
      <c r="V5" s="3726"/>
      <c r="W5" s="3726"/>
      <c r="X5" s="1353"/>
      <c r="Y5" s="3703"/>
      <c r="Z5" s="3704"/>
      <c r="AA5" s="3697"/>
      <c r="AB5" s="3697"/>
      <c r="AC5" s="3747"/>
    </row>
    <row r="6" spans="1:29" ht="15.75" thickBot="1">
      <c r="A6" s="360"/>
      <c r="B6" s="361"/>
      <c r="C6" s="3709" t="s">
        <v>1675</v>
      </c>
      <c r="D6" s="3710"/>
      <c r="E6" s="3711" t="s">
        <v>1675</v>
      </c>
      <c r="F6" s="3712"/>
      <c r="G6" s="3709" t="s">
        <v>1675</v>
      </c>
      <c r="H6" s="3710"/>
      <c r="I6" s="3709" t="s">
        <v>1675</v>
      </c>
      <c r="J6" s="3710"/>
      <c r="K6" s="559" t="s">
        <v>1676</v>
      </c>
      <c r="L6" s="2709"/>
      <c r="M6" s="2710"/>
      <c r="N6" s="2710"/>
      <c r="O6" s="2710"/>
      <c r="P6" s="3752"/>
      <c r="Q6" s="3723"/>
      <c r="R6" s="3703"/>
      <c r="S6" s="3704"/>
      <c r="T6" s="3724"/>
      <c r="U6" s="3725"/>
      <c r="V6" s="3726"/>
      <c r="W6" s="3726"/>
      <c r="X6" s="1353"/>
      <c r="Y6" s="3724"/>
      <c r="Z6" s="3725"/>
      <c r="AA6" s="3698"/>
      <c r="AB6" s="3698"/>
      <c r="AC6" s="3748"/>
    </row>
    <row r="7" spans="1:29" s="108" customFormat="1" ht="15.75" thickBot="1">
      <c r="A7" s="362" t="s">
        <v>1677</v>
      </c>
      <c r="B7" s="363"/>
      <c r="C7" s="364">
        <f>'数据-取费表'!B2</f>
        <v>44965</v>
      </c>
      <c r="D7" s="365">
        <v>100</v>
      </c>
      <c r="E7" s="366">
        <v>44958</v>
      </c>
      <c r="F7" s="367">
        <f>SUMIF(59:59,YEAR(E7)&amp;"-"&amp;MONTH(E7),60:60)</f>
        <v>100</v>
      </c>
      <c r="G7" s="366">
        <v>44958</v>
      </c>
      <c r="H7" s="365">
        <f>SUMIF(59:59,YEAR(G7)&amp;"-"&amp;MONTH(G7),60:60)</f>
        <v>100</v>
      </c>
      <c r="I7" s="366">
        <v>44958</v>
      </c>
      <c r="J7" s="365">
        <f>SUMIF(59:59,YEAR(I7)&amp;"-"&amp;MONTH(I7),60:60)</f>
        <v>100</v>
      </c>
      <c r="K7" s="560"/>
      <c r="L7" s="2711"/>
      <c r="M7" s="2712"/>
      <c r="N7" s="2712"/>
      <c r="O7" s="2712"/>
      <c r="P7" s="3754" t="s">
        <v>1678</v>
      </c>
      <c r="Q7" s="3727"/>
      <c r="R7" s="699" t="s">
        <v>14</v>
      </c>
      <c r="S7" s="700">
        <f t="shared" ref="S7:S15" si="0">F7</f>
        <v>100</v>
      </c>
      <c r="T7" s="699" t="s">
        <v>14</v>
      </c>
      <c r="U7" s="700">
        <f t="shared" ref="U7:U15" si="1">H7</f>
        <v>100</v>
      </c>
      <c r="V7" s="699" t="s">
        <v>14</v>
      </c>
      <c r="W7" s="700">
        <f t="shared" ref="W7:W15" si="2">J7</f>
        <v>100</v>
      </c>
      <c r="X7" s="701"/>
      <c r="Y7" s="3699" t="s">
        <v>1678</v>
      </c>
      <c r="Z7" s="3700"/>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1"/>
      <c r="M8" s="2712"/>
      <c r="N8" s="2712"/>
      <c r="O8" s="2712"/>
      <c r="P8" s="3754" t="s">
        <v>1681</v>
      </c>
      <c r="Q8" s="3700"/>
      <c r="R8" s="699" t="s">
        <v>14</v>
      </c>
      <c r="S8" s="700">
        <f t="shared" si="0"/>
        <v>100</v>
      </c>
      <c r="T8" s="699" t="s">
        <v>14</v>
      </c>
      <c r="U8" s="700">
        <f t="shared" si="1"/>
        <v>100</v>
      </c>
      <c r="V8" s="699" t="s">
        <v>14</v>
      </c>
      <c r="W8" s="700">
        <f t="shared" si="2"/>
        <v>100</v>
      </c>
      <c r="X8" s="701"/>
      <c r="Y8" s="3699" t="s">
        <v>1681</v>
      </c>
      <c r="Z8" s="3700"/>
      <c r="AA8" s="702">
        <f t="shared" ref="AA8:AA47" si="3">D8/F8</f>
        <v>1</v>
      </c>
      <c r="AB8" s="702">
        <f t="shared" ref="AB8:AB47" si="4">D8/H8</f>
        <v>1</v>
      </c>
      <c r="AC8" s="1957">
        <f t="shared" ref="AC8:AC47" si="5">D8/J8</f>
        <v>1</v>
      </c>
    </row>
    <row r="9" spans="1:29" s="108" customFormat="1">
      <c r="A9" s="369" t="s">
        <v>1682</v>
      </c>
      <c r="B9" s="63" t="s">
        <v>1683</v>
      </c>
      <c r="C9" s="3444"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3" t="s">
        <v>1684</v>
      </c>
      <c r="Q9" s="1341" t="str">
        <f t="shared" ref="Q9:Q15" si="6">B9</f>
        <v>用途</v>
      </c>
      <c r="R9" s="699" t="s">
        <v>14</v>
      </c>
      <c r="S9" s="700">
        <f t="shared" si="0"/>
        <v>100</v>
      </c>
      <c r="T9" s="699" t="s">
        <v>14</v>
      </c>
      <c r="U9" s="700">
        <f t="shared" si="1"/>
        <v>100</v>
      </c>
      <c r="V9" s="699" t="s">
        <v>14</v>
      </c>
      <c r="W9" s="700">
        <f t="shared" si="2"/>
        <v>100</v>
      </c>
      <c r="X9" s="701"/>
      <c r="Y9" s="3646" t="s">
        <v>1685</v>
      </c>
      <c r="Z9" s="52" t="str">
        <f t="shared" ref="Z9:Z15" si="7">Q9</f>
        <v>用途</v>
      </c>
      <c r="AA9" s="702">
        <f t="shared" si="3"/>
        <v>1</v>
      </c>
      <c r="AB9" s="702">
        <f t="shared" si="4"/>
        <v>1</v>
      </c>
      <c r="AC9" s="1957">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3"/>
      <c r="M10" s="2714"/>
      <c r="N10" s="2714"/>
      <c r="O10" s="2714"/>
      <c r="P10" s="3713"/>
      <c r="Q10" s="1341" t="str">
        <f t="shared" si="6"/>
        <v>土地使用年限（年）</v>
      </c>
      <c r="R10" s="699" t="s">
        <v>14</v>
      </c>
      <c r="S10" s="700">
        <f t="shared" si="0"/>
        <v>100</v>
      </c>
      <c r="T10" s="699" t="s">
        <v>14</v>
      </c>
      <c r="U10" s="700">
        <f t="shared" si="1"/>
        <v>100</v>
      </c>
      <c r="V10" s="699" t="s">
        <v>14</v>
      </c>
      <c r="W10" s="700">
        <f t="shared" si="2"/>
        <v>100</v>
      </c>
      <c r="X10" s="701"/>
      <c r="Y10" s="3646"/>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3"/>
      <c r="Q11" s="1341" t="str">
        <f t="shared" si="6"/>
        <v>容积率</v>
      </c>
      <c r="R11" s="699" t="s">
        <v>14</v>
      </c>
      <c r="S11" s="700">
        <f t="shared" si="0"/>
        <v>100</v>
      </c>
      <c r="T11" s="699" t="s">
        <v>14</v>
      </c>
      <c r="U11" s="700">
        <f t="shared" si="1"/>
        <v>100</v>
      </c>
      <c r="V11" s="699" t="s">
        <v>14</v>
      </c>
      <c r="W11" s="700">
        <f t="shared" si="2"/>
        <v>100</v>
      </c>
      <c r="X11" s="701"/>
      <c r="Y11" s="36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713"/>
      <c r="Q12" s="1341">
        <f t="shared" si="6"/>
        <v>111</v>
      </c>
      <c r="R12" s="699" t="s">
        <v>14</v>
      </c>
      <c r="S12" s="700">
        <f t="shared" si="0"/>
        <v>100</v>
      </c>
      <c r="T12" s="699" t="s">
        <v>14</v>
      </c>
      <c r="U12" s="700">
        <f t="shared" si="1"/>
        <v>100</v>
      </c>
      <c r="V12" s="699" t="s">
        <v>14</v>
      </c>
      <c r="W12" s="700">
        <f t="shared" si="2"/>
        <v>100</v>
      </c>
      <c r="X12" s="701"/>
      <c r="Y12" s="36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713"/>
      <c r="Q13" s="1341">
        <f t="shared" si="6"/>
        <v>111</v>
      </c>
      <c r="R13" s="699" t="s">
        <v>14</v>
      </c>
      <c r="S13" s="700">
        <f t="shared" si="0"/>
        <v>100</v>
      </c>
      <c r="T13" s="699" t="s">
        <v>14</v>
      </c>
      <c r="U13" s="700">
        <f t="shared" si="1"/>
        <v>100</v>
      </c>
      <c r="V13" s="699" t="s">
        <v>14</v>
      </c>
      <c r="W13" s="700">
        <f t="shared" si="2"/>
        <v>100</v>
      </c>
      <c r="X13" s="701"/>
      <c r="Y13" s="36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713"/>
      <c r="Q14" s="1341">
        <f t="shared" si="6"/>
        <v>111</v>
      </c>
      <c r="R14" s="699" t="s">
        <v>14</v>
      </c>
      <c r="S14" s="700">
        <f t="shared" si="0"/>
        <v>100</v>
      </c>
      <c r="T14" s="699" t="s">
        <v>14</v>
      </c>
      <c r="U14" s="700">
        <f t="shared" si="1"/>
        <v>100</v>
      </c>
      <c r="V14" s="699" t="s">
        <v>14</v>
      </c>
      <c r="W14" s="700">
        <f t="shared" si="2"/>
        <v>100</v>
      </c>
      <c r="X14" s="701"/>
      <c r="Y14" s="3646"/>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6"/>
      <c r="M15" s="2710"/>
      <c r="N15" s="2710"/>
      <c r="O15" s="2710"/>
      <c r="P15" s="3740" t="s">
        <v>1689</v>
      </c>
      <c r="Q15" s="1350" t="str">
        <f t="shared" si="6"/>
        <v>办公集聚程度</v>
      </c>
      <c r="R15" s="703" t="s">
        <v>14</v>
      </c>
      <c r="S15" s="704">
        <f t="shared" si="0"/>
        <v>100</v>
      </c>
      <c r="T15" s="703" t="s">
        <v>14</v>
      </c>
      <c r="U15" s="704">
        <f t="shared" si="1"/>
        <v>100</v>
      </c>
      <c r="V15" s="703" t="s">
        <v>14</v>
      </c>
      <c r="W15" s="704">
        <f t="shared" si="2"/>
        <v>100</v>
      </c>
      <c r="X15" s="1353"/>
      <c r="Y15" s="3733" t="s">
        <v>1689</v>
      </c>
      <c r="Z15" s="1354" t="str">
        <f t="shared" si="7"/>
        <v>办公集聚程度</v>
      </c>
      <c r="AA15" s="1351">
        <f t="shared" si="3"/>
        <v>1</v>
      </c>
      <c r="AB15" s="1351">
        <f t="shared" si="4"/>
        <v>1</v>
      </c>
      <c r="AC15" s="1960">
        <f t="shared" si="5"/>
        <v>1</v>
      </c>
    </row>
    <row r="16" spans="1:29" ht="15">
      <c r="A16" s="379"/>
      <c r="B16" s="578"/>
      <c r="C16" s="1902" t="s">
        <v>3399</v>
      </c>
      <c r="D16" s="399"/>
      <c r="E16" s="1902" t="s">
        <v>3399</v>
      </c>
      <c r="F16" s="399"/>
      <c r="G16" s="1902" t="s">
        <v>3399</v>
      </c>
      <c r="H16" s="401"/>
      <c r="I16" s="1902" t="s">
        <v>3399</v>
      </c>
      <c r="J16" s="399"/>
      <c r="K16" s="564"/>
      <c r="L16" s="2716"/>
      <c r="M16" s="2710"/>
      <c r="N16" s="2710"/>
      <c r="O16" s="2710"/>
      <c r="P16" s="3741"/>
      <c r="Q16" s="1350"/>
      <c r="R16" s="703"/>
      <c r="S16" s="704"/>
      <c r="T16" s="703"/>
      <c r="U16" s="704"/>
      <c r="V16" s="703"/>
      <c r="W16" s="704"/>
      <c r="X16" s="1353"/>
      <c r="Y16" s="3734"/>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741"/>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960">
        <f t="shared" si="5"/>
        <v>1</v>
      </c>
    </row>
    <row r="18" spans="1:29" ht="15">
      <c r="A18" s="379"/>
      <c r="B18" s="580"/>
      <c r="C18" s="1962" t="s">
        <v>3455</v>
      </c>
      <c r="D18" s="401"/>
      <c r="E18" s="1962" t="s">
        <v>3455</v>
      </c>
      <c r="F18" s="401"/>
      <c r="G18" s="1962" t="s">
        <v>3455</v>
      </c>
      <c r="H18" s="399"/>
      <c r="I18" s="1962" t="s">
        <v>3455</v>
      </c>
      <c r="J18" s="399"/>
      <c r="K18" s="564"/>
      <c r="L18" s="2716"/>
      <c r="M18" s="2710"/>
      <c r="N18" s="2710"/>
      <c r="O18" s="2710"/>
      <c r="P18" s="3741"/>
      <c r="Q18" s="1350"/>
      <c r="R18" s="703"/>
      <c r="S18" s="704"/>
      <c r="T18" s="703"/>
      <c r="U18" s="704"/>
      <c r="V18" s="703"/>
      <c r="W18" s="704"/>
      <c r="X18" s="1353"/>
      <c r="Y18" s="3734"/>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41"/>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960">
        <f t="shared" si="5"/>
        <v>1</v>
      </c>
    </row>
    <row r="20" spans="1:29" ht="15">
      <c r="A20" s="379"/>
      <c r="B20" s="580"/>
      <c r="C20" s="1902" t="s">
        <v>3455</v>
      </c>
      <c r="D20" s="399"/>
      <c r="E20" s="1902" t="s">
        <v>3455</v>
      </c>
      <c r="F20" s="399"/>
      <c r="G20" s="1902" t="s">
        <v>3455</v>
      </c>
      <c r="H20" s="399"/>
      <c r="I20" s="1902" t="s">
        <v>3455</v>
      </c>
      <c r="J20" s="399"/>
      <c r="K20" s="564"/>
      <c r="L20" s="2716"/>
      <c r="M20" s="2710"/>
      <c r="N20" s="2710"/>
      <c r="O20" s="2710"/>
      <c r="P20" s="3741"/>
      <c r="Q20" s="1350"/>
      <c r="R20" s="703"/>
      <c r="S20" s="704"/>
      <c r="T20" s="703"/>
      <c r="U20" s="704"/>
      <c r="V20" s="703"/>
      <c r="W20" s="704"/>
      <c r="X20" s="1353"/>
      <c r="Y20" s="3734"/>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6"/>
      <c r="M21" s="2710"/>
      <c r="N21" s="2710"/>
      <c r="O21" s="2710"/>
      <c r="P21" s="3741"/>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960">
        <f t="shared" ref="AC21" si="10">D21/J21</f>
        <v>1</v>
      </c>
    </row>
    <row r="22" spans="1:29" ht="15">
      <c r="A22" s="379"/>
      <c r="B22" s="581"/>
      <c r="C22" s="1962" t="s">
        <v>3400</v>
      </c>
      <c r="D22" s="399"/>
      <c r="E22" s="1962" t="s">
        <v>3400</v>
      </c>
      <c r="F22" s="399"/>
      <c r="G22" s="1962" t="s">
        <v>3400</v>
      </c>
      <c r="H22" s="399"/>
      <c r="I22" s="1962" t="s">
        <v>3400</v>
      </c>
      <c r="J22" s="399"/>
      <c r="K22" s="1128"/>
      <c r="L22" s="2716"/>
      <c r="M22" s="2710"/>
      <c r="N22" s="2710"/>
      <c r="O22" s="2710"/>
      <c r="P22" s="3741"/>
      <c r="Q22" s="1350"/>
      <c r="R22" s="703"/>
      <c r="S22" s="704"/>
      <c r="T22" s="703"/>
      <c r="U22" s="704"/>
      <c r="V22" s="703"/>
      <c r="W22" s="704"/>
      <c r="X22" s="1353"/>
      <c r="Y22" s="3734"/>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41"/>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960">
        <f t="shared" si="5"/>
        <v>1</v>
      </c>
    </row>
    <row r="24" spans="1:29" ht="15">
      <c r="A24" s="379"/>
      <c r="B24" s="581"/>
      <c r="C24" s="1902" t="s">
        <v>3399</v>
      </c>
      <c r="D24" s="399"/>
      <c r="E24" s="1902" t="s">
        <v>3399</v>
      </c>
      <c r="F24" s="399"/>
      <c r="G24" s="1902" t="s">
        <v>3399</v>
      </c>
      <c r="H24" s="399"/>
      <c r="I24" s="1902" t="s">
        <v>3399</v>
      </c>
      <c r="J24" s="399"/>
      <c r="K24" s="564"/>
      <c r="L24" s="2716"/>
      <c r="M24" s="2710"/>
      <c r="N24" s="2710"/>
      <c r="O24" s="2710"/>
      <c r="P24" s="3741"/>
      <c r="Q24" s="1350"/>
      <c r="R24" s="703"/>
      <c r="S24" s="704"/>
      <c r="T24" s="703"/>
      <c r="U24" s="704"/>
      <c r="V24" s="703"/>
      <c r="W24" s="704"/>
      <c r="X24" s="1353"/>
      <c r="Y24" s="3734"/>
      <c r="Z24" s="1354"/>
      <c r="AA24" s="1351">
        <v>1</v>
      </c>
      <c r="AB24" s="1351">
        <v>1</v>
      </c>
      <c r="AC24" s="1960">
        <v>1</v>
      </c>
    </row>
    <row r="25" spans="1:29" ht="27">
      <c r="A25" s="358"/>
      <c r="B25" s="579" t="s">
        <v>1813</v>
      </c>
      <c r="C25" s="3455" t="s">
        <v>3457</v>
      </c>
      <c r="D25" s="386">
        <v>100</v>
      </c>
      <c r="E25" s="3455" t="s">
        <v>3457</v>
      </c>
      <c r="F25" s="386">
        <f>SUMIF(87:87,E26,88:88)-SUMIF(87:87,C26,88:88)+100</f>
        <v>100</v>
      </c>
      <c r="G25" s="3455" t="s">
        <v>3457</v>
      </c>
      <c r="H25" s="386">
        <f>SUMIF(87:87,G26,88:88)-SUMIF(87:87,C26,88:88)+100</f>
        <v>100</v>
      </c>
      <c r="I25" s="3455" t="s">
        <v>3457</v>
      </c>
      <c r="J25" s="386">
        <f>SUMIF(87:87,I26,88:88)-SUMIF(87:87,C26,88:88)+100</f>
        <v>100</v>
      </c>
      <c r="K25" s="563">
        <v>2</v>
      </c>
      <c r="L25" s="2716"/>
      <c r="M25" s="2710"/>
      <c r="N25" s="2710"/>
      <c r="O25" s="2710"/>
      <c r="P25" s="3741"/>
      <c r="Q25" s="1350" t="str">
        <f>B25</f>
        <v>毗邻道路的类型与等级</v>
      </c>
      <c r="R25" s="703" t="s">
        <v>14</v>
      </c>
      <c r="S25" s="704">
        <f>F25</f>
        <v>100</v>
      </c>
      <c r="T25" s="703" t="s">
        <v>14</v>
      </c>
      <c r="U25" s="704">
        <f>H25</f>
        <v>100</v>
      </c>
      <c r="V25" s="703" t="s">
        <v>14</v>
      </c>
      <c r="W25" s="704">
        <f>J25</f>
        <v>100</v>
      </c>
      <c r="X25" s="1353"/>
      <c r="Y25" s="3734"/>
      <c r="Z25" s="1354" t="str">
        <f>Q25</f>
        <v>毗邻道路的类型与等级</v>
      </c>
      <c r="AA25" s="1351">
        <f t="shared" si="3"/>
        <v>1</v>
      </c>
      <c r="AB25" s="1351">
        <f t="shared" si="4"/>
        <v>1</v>
      </c>
      <c r="AC25" s="1960">
        <f t="shared" si="5"/>
        <v>1</v>
      </c>
    </row>
    <row r="26" spans="1:29" ht="15">
      <c r="A26" s="358"/>
      <c r="B26" s="580"/>
      <c r="C26" s="582" t="s">
        <v>3456</v>
      </c>
      <c r="D26" s="386"/>
      <c r="E26" s="582" t="s">
        <v>3456</v>
      </c>
      <c r="F26" s="386"/>
      <c r="G26" s="582" t="s">
        <v>3456</v>
      </c>
      <c r="H26" s="386"/>
      <c r="I26" s="582" t="s">
        <v>3456</v>
      </c>
      <c r="J26" s="386"/>
      <c r="K26" s="564"/>
      <c r="L26" s="2716"/>
      <c r="M26" s="2710"/>
      <c r="N26" s="2710"/>
      <c r="O26" s="2710"/>
      <c r="P26" s="3741"/>
      <c r="Q26" s="1350"/>
      <c r="R26" s="703"/>
      <c r="S26" s="704"/>
      <c r="T26" s="703"/>
      <c r="U26" s="704"/>
      <c r="V26" s="703"/>
      <c r="W26" s="704"/>
      <c r="X26" s="1353"/>
      <c r="Y26" s="3734"/>
      <c r="Z26" s="1354"/>
      <c r="AA26" s="1351">
        <v>1</v>
      </c>
      <c r="AB26" s="1351">
        <v>1</v>
      </c>
      <c r="AC26" s="1960">
        <v>1</v>
      </c>
    </row>
    <row r="27" spans="1:29" ht="15">
      <c r="A27" s="379"/>
      <c r="B27" s="580" t="s">
        <v>1781</v>
      </c>
      <c r="C27" s="582" t="s">
        <v>3458</v>
      </c>
      <c r="D27" s="386">
        <v>100</v>
      </c>
      <c r="E27" s="582" t="s">
        <v>3407</v>
      </c>
      <c r="F27" s="386">
        <f>SUMIF(89:89,E27,90:90)-SUMIF(89:89,C27,90:90)+100</f>
        <v>105</v>
      </c>
      <c r="G27" s="582" t="s">
        <v>3407</v>
      </c>
      <c r="H27" s="386">
        <f>SUMIF(89:89,G27,90:90)-SUMIF(89:89,C27,90:90)+100</f>
        <v>105</v>
      </c>
      <c r="I27" s="582" t="s">
        <v>3407</v>
      </c>
      <c r="J27" s="386">
        <f>SUMIF(89:89,I27,90:90)-SUMIF(89:89,C27,90:90)+100</f>
        <v>105</v>
      </c>
      <c r="K27" s="561">
        <v>5</v>
      </c>
      <c r="L27" s="2716"/>
      <c r="M27" s="2710"/>
      <c r="N27" s="2710"/>
      <c r="O27" s="2710"/>
      <c r="P27" s="3741"/>
      <c r="Q27" s="1350" t="str">
        <f t="shared" ref="Q27:Q47" si="11">B27</f>
        <v>楼层</v>
      </c>
      <c r="R27" s="703" t="s">
        <v>14</v>
      </c>
      <c r="S27" s="704">
        <f>F27</f>
        <v>105</v>
      </c>
      <c r="T27" s="703" t="s">
        <v>14</v>
      </c>
      <c r="U27" s="704">
        <f>H27</f>
        <v>105</v>
      </c>
      <c r="V27" s="703" t="s">
        <v>14</v>
      </c>
      <c r="W27" s="704">
        <f>J27</f>
        <v>105</v>
      </c>
      <c r="X27" s="1353"/>
      <c r="Y27" s="3734"/>
      <c r="Z27" s="1354" t="str">
        <f>Q27</f>
        <v>楼层</v>
      </c>
      <c r="AA27" s="1351">
        <f t="shared" si="3"/>
        <v>0.95238095238095233</v>
      </c>
      <c r="AB27" s="1351">
        <f t="shared" si="4"/>
        <v>0.95238095238095233</v>
      </c>
      <c r="AC27" s="1960">
        <f t="shared" si="5"/>
        <v>0.95238095238095233</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741"/>
      <c r="Q28" s="1341" t="str">
        <f t="shared" si="11"/>
        <v>朝向</v>
      </c>
      <c r="R28" s="699" t="s">
        <v>14</v>
      </c>
      <c r="S28" s="700">
        <f>F28</f>
        <v>100</v>
      </c>
      <c r="T28" s="699" t="s">
        <v>14</v>
      </c>
      <c r="U28" s="700">
        <f>H28</f>
        <v>100</v>
      </c>
      <c r="V28" s="699" t="s">
        <v>14</v>
      </c>
      <c r="W28" s="700">
        <f>J28</f>
        <v>100</v>
      </c>
      <c r="X28" s="701"/>
      <c r="Y28" s="373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741"/>
      <c r="Q29" s="1350">
        <f t="shared" si="11"/>
        <v>111</v>
      </c>
      <c r="R29" s="703" t="s">
        <v>14</v>
      </c>
      <c r="S29" s="704">
        <f t="shared" ref="S29:S47" si="12">F29</f>
        <v>100</v>
      </c>
      <c r="T29" s="703" t="s">
        <v>14</v>
      </c>
      <c r="U29" s="704">
        <f t="shared" ref="U29:U47" si="13">H29</f>
        <v>100</v>
      </c>
      <c r="V29" s="703" t="s">
        <v>14</v>
      </c>
      <c r="W29" s="704">
        <f t="shared" ref="W29:W47" si="14">J29</f>
        <v>100</v>
      </c>
      <c r="X29" s="1353"/>
      <c r="Y29" s="373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741"/>
      <c r="Q30" s="1350">
        <f t="shared" si="11"/>
        <v>111</v>
      </c>
      <c r="R30" s="703" t="s">
        <v>14</v>
      </c>
      <c r="S30" s="704">
        <f t="shared" si="12"/>
        <v>100</v>
      </c>
      <c r="T30" s="703" t="s">
        <v>14</v>
      </c>
      <c r="U30" s="704">
        <f t="shared" si="13"/>
        <v>100</v>
      </c>
      <c r="V30" s="703" t="s">
        <v>14</v>
      </c>
      <c r="W30" s="704">
        <f t="shared" si="14"/>
        <v>100</v>
      </c>
      <c r="X30" s="1353"/>
      <c r="Y30" s="373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741"/>
      <c r="Q31" s="1350">
        <f t="shared" si="11"/>
        <v>111</v>
      </c>
      <c r="R31" s="703" t="s">
        <v>14</v>
      </c>
      <c r="S31" s="704">
        <f t="shared" si="12"/>
        <v>100</v>
      </c>
      <c r="T31" s="703" t="s">
        <v>14</v>
      </c>
      <c r="U31" s="704">
        <f t="shared" si="13"/>
        <v>100</v>
      </c>
      <c r="V31" s="703" t="s">
        <v>14</v>
      </c>
      <c r="W31" s="704">
        <f t="shared" si="14"/>
        <v>100</v>
      </c>
      <c r="X31" s="1353"/>
      <c r="Y31" s="373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741"/>
      <c r="Q32" s="1350">
        <f t="shared" si="11"/>
        <v>111</v>
      </c>
      <c r="R32" s="703" t="s">
        <v>14</v>
      </c>
      <c r="S32" s="704">
        <f t="shared" si="12"/>
        <v>100</v>
      </c>
      <c r="T32" s="703" t="s">
        <v>14</v>
      </c>
      <c r="U32" s="704">
        <f t="shared" si="13"/>
        <v>100</v>
      </c>
      <c r="V32" s="703" t="s">
        <v>14</v>
      </c>
      <c r="W32" s="704">
        <f t="shared" si="14"/>
        <v>100</v>
      </c>
      <c r="X32" s="1353"/>
      <c r="Y32" s="3734"/>
      <c r="Z32" s="1354">
        <f t="shared" si="15"/>
        <v>111</v>
      </c>
      <c r="AA32" s="1351">
        <f t="shared" si="3"/>
        <v>1</v>
      </c>
      <c r="AB32" s="1351">
        <f t="shared" si="4"/>
        <v>1</v>
      </c>
      <c r="AC32" s="1960">
        <f t="shared" si="5"/>
        <v>1</v>
      </c>
    </row>
    <row r="33" spans="1:29" ht="15">
      <c r="A33" s="391" t="s">
        <v>1692</v>
      </c>
      <c r="B33" s="63" t="s">
        <v>1815</v>
      </c>
      <c r="C33" s="1965" t="s">
        <v>3433</v>
      </c>
      <c r="D33" s="418">
        <v>100</v>
      </c>
      <c r="E33" s="1965" t="s">
        <v>3433</v>
      </c>
      <c r="F33" s="412">
        <f>SUMIF(101:101,E33,102:102)-SUMIF(101:101,C33,102:102)+100</f>
        <v>100</v>
      </c>
      <c r="G33" s="1965" t="s">
        <v>3433</v>
      </c>
      <c r="H33" s="386">
        <f>SUMIF(101:101,G33,102:102)-SUMIF(101:101,C33,102:102)+100</f>
        <v>100</v>
      </c>
      <c r="I33" s="1965" t="s">
        <v>3433</v>
      </c>
      <c r="J33" s="418">
        <f>SUMIF(101:101,I33,102:102)-SUMIF(101:101,C33,102:102)+100</f>
        <v>100</v>
      </c>
      <c r="K33" s="561">
        <v>2</v>
      </c>
      <c r="L33" s="2716"/>
      <c r="M33" s="2710"/>
      <c r="N33" s="2710"/>
      <c r="O33" s="2710"/>
      <c r="P33" s="3735" t="s">
        <v>1694</v>
      </c>
      <c r="Q33" s="1350" t="str">
        <f t="shared" si="11"/>
        <v>建筑类型</v>
      </c>
      <c r="R33" s="703" t="s">
        <v>14</v>
      </c>
      <c r="S33" s="704">
        <f t="shared" si="12"/>
        <v>100</v>
      </c>
      <c r="T33" s="703" t="s">
        <v>14</v>
      </c>
      <c r="U33" s="704">
        <f t="shared" si="13"/>
        <v>100</v>
      </c>
      <c r="V33" s="703" t="s">
        <v>14</v>
      </c>
      <c r="W33" s="704">
        <f t="shared" si="14"/>
        <v>100</v>
      </c>
      <c r="X33" s="1353"/>
      <c r="Y33" s="3738"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1286.47</v>
      </c>
      <c r="D34" s="127">
        <v>100</v>
      </c>
      <c r="E34" s="420">
        <v>182.6</v>
      </c>
      <c r="F34" s="376">
        <f>LOOKUP(E34,104:104,105:105)-LOOKUP(C34,104:104,105:105)+100</f>
        <v>103</v>
      </c>
      <c r="G34" s="420">
        <v>1372.44</v>
      </c>
      <c r="H34" s="127">
        <f>LOOKUP(G34,104:104,105:105)-LOOKUP(C34,104:104,105:105)+100</f>
        <v>99</v>
      </c>
      <c r="I34" s="420">
        <v>490.45</v>
      </c>
      <c r="J34" s="127">
        <f>LOOKUP(I34,104:104,105:105)-LOOKUP(C34,104:104,105:105)+100</f>
        <v>104</v>
      </c>
      <c r="K34" s="562"/>
      <c r="L34" s="2715"/>
      <c r="M34" s="2717"/>
      <c r="N34" s="2717"/>
      <c r="O34" s="2717"/>
      <c r="P34" s="3736"/>
      <c r="Q34" s="705" t="str">
        <f t="shared" si="11"/>
        <v>项目建筑规模</v>
      </c>
      <c r="R34" s="706" t="s">
        <v>14</v>
      </c>
      <c r="S34" s="707">
        <f t="shared" si="12"/>
        <v>103</v>
      </c>
      <c r="T34" s="706" t="s">
        <v>14</v>
      </c>
      <c r="U34" s="707">
        <f t="shared" si="13"/>
        <v>99</v>
      </c>
      <c r="V34" s="706" t="s">
        <v>14</v>
      </c>
      <c r="W34" s="707">
        <f t="shared" si="14"/>
        <v>104</v>
      </c>
      <c r="X34" s="708"/>
      <c r="Y34" s="3738"/>
      <c r="Z34" s="709" t="str">
        <f t="shared" si="15"/>
        <v>项目建筑规模</v>
      </c>
      <c r="AA34" s="1351">
        <f t="shared" si="3"/>
        <v>0.970873786407767</v>
      </c>
      <c r="AB34" s="1351">
        <f t="shared" si="4"/>
        <v>1.0101010101010102</v>
      </c>
      <c r="AC34" s="1960">
        <f t="shared" si="5"/>
        <v>0.96153846153846156</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6"/>
      <c r="M35" s="2710"/>
      <c r="N35" s="2710"/>
      <c r="O35" s="2710"/>
      <c r="P35" s="3736"/>
      <c r="Q35" s="1350" t="str">
        <f t="shared" si="11"/>
        <v>建筑结构</v>
      </c>
      <c r="R35" s="703" t="s">
        <v>14</v>
      </c>
      <c r="S35" s="704">
        <f t="shared" si="12"/>
        <v>100</v>
      </c>
      <c r="T35" s="703" t="s">
        <v>14</v>
      </c>
      <c r="U35" s="704">
        <f t="shared" si="13"/>
        <v>100</v>
      </c>
      <c r="V35" s="703" t="s">
        <v>14</v>
      </c>
      <c r="W35" s="704">
        <f t="shared" si="14"/>
        <v>100</v>
      </c>
      <c r="X35" s="1353"/>
      <c r="Y35" s="3738"/>
      <c r="Z35" s="1354" t="str">
        <f t="shared" si="15"/>
        <v>建筑结构</v>
      </c>
      <c r="AA35" s="1351">
        <f t="shared" si="3"/>
        <v>1</v>
      </c>
      <c r="AB35" s="1351">
        <f t="shared" si="4"/>
        <v>1</v>
      </c>
      <c r="AC35" s="1960">
        <f t="shared" si="5"/>
        <v>1</v>
      </c>
    </row>
    <row r="36" spans="1:29" ht="15">
      <c r="A36" s="423"/>
      <c r="B36" s="375" t="s">
        <v>1783</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16"/>
      <c r="M36" s="2710"/>
      <c r="N36" s="2710"/>
      <c r="O36" s="2710"/>
      <c r="P36" s="3736"/>
      <c r="Q36" s="1350" t="str">
        <f t="shared" si="11"/>
        <v>公共部分装修</v>
      </c>
      <c r="R36" s="703" t="s">
        <v>14</v>
      </c>
      <c r="S36" s="704">
        <f t="shared" si="12"/>
        <v>100</v>
      </c>
      <c r="T36" s="703" t="s">
        <v>14</v>
      </c>
      <c r="U36" s="704">
        <f t="shared" si="13"/>
        <v>100</v>
      </c>
      <c r="V36" s="703" t="s">
        <v>14</v>
      </c>
      <c r="W36" s="704">
        <f t="shared" si="14"/>
        <v>100</v>
      </c>
      <c r="X36" s="1353"/>
      <c r="Y36" s="3738"/>
      <c r="Z36" s="1354" t="str">
        <f t="shared" si="15"/>
        <v>公共部分装修</v>
      </c>
      <c r="AA36" s="1351">
        <f t="shared" si="3"/>
        <v>1</v>
      </c>
      <c r="AB36" s="1351">
        <f t="shared" si="4"/>
        <v>1</v>
      </c>
      <c r="AC36" s="1960">
        <f t="shared" si="5"/>
        <v>1</v>
      </c>
    </row>
    <row r="37" spans="1:29" ht="15">
      <c r="A37" s="423"/>
      <c r="B37" s="375" t="s">
        <v>1784</v>
      </c>
      <c r="C37" s="425">
        <f>'数据-取费表'!Y6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16"/>
      <c r="M37" s="2710"/>
      <c r="N37" s="2710"/>
      <c r="O37" s="2710"/>
      <c r="P37" s="3736"/>
      <c r="Q37" s="1350" t="str">
        <f t="shared" si="11"/>
        <v>成新度</v>
      </c>
      <c r="R37" s="703" t="s">
        <v>14</v>
      </c>
      <c r="S37" s="704">
        <f t="shared" si="12"/>
        <v>100</v>
      </c>
      <c r="T37" s="703" t="s">
        <v>14</v>
      </c>
      <c r="U37" s="704">
        <f t="shared" si="13"/>
        <v>100</v>
      </c>
      <c r="V37" s="703" t="s">
        <v>14</v>
      </c>
      <c r="W37" s="704">
        <f t="shared" si="14"/>
        <v>100</v>
      </c>
      <c r="X37" s="1353"/>
      <c r="Y37" s="3738"/>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36"/>
      <c r="Q38" s="1341" t="str">
        <f t="shared" si="11"/>
        <v>写字楼等级</v>
      </c>
      <c r="R38" s="699" t="s">
        <v>14</v>
      </c>
      <c r="S38" s="700">
        <f t="shared" si="12"/>
        <v>100</v>
      </c>
      <c r="T38" s="699" t="s">
        <v>14</v>
      </c>
      <c r="U38" s="700">
        <f t="shared" si="13"/>
        <v>100</v>
      </c>
      <c r="V38" s="699" t="s">
        <v>14</v>
      </c>
      <c r="W38" s="700">
        <f t="shared" si="14"/>
        <v>100</v>
      </c>
      <c r="X38" s="701"/>
      <c r="Y38" s="3738"/>
      <c r="Z38" s="52" t="str">
        <f t="shared" si="15"/>
        <v>写字楼等级</v>
      </c>
      <c r="AA38" s="702">
        <f t="shared" si="3"/>
        <v>1</v>
      </c>
      <c r="AB38" s="702">
        <f t="shared" si="4"/>
        <v>1</v>
      </c>
      <c r="AC38" s="1957">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6"/>
      <c r="M39" s="2710"/>
      <c r="N39" s="2710"/>
      <c r="O39" s="2710"/>
      <c r="P39" s="3736" t="s">
        <v>1694</v>
      </c>
      <c r="Q39" s="1350" t="str">
        <f t="shared" si="11"/>
        <v>物业管理</v>
      </c>
      <c r="R39" s="703" t="s">
        <v>14</v>
      </c>
      <c r="S39" s="704">
        <f t="shared" si="12"/>
        <v>100</v>
      </c>
      <c r="T39" s="703" t="s">
        <v>14</v>
      </c>
      <c r="U39" s="704">
        <f t="shared" si="13"/>
        <v>100</v>
      </c>
      <c r="V39" s="703" t="s">
        <v>14</v>
      </c>
      <c r="W39" s="704">
        <f t="shared" si="14"/>
        <v>100</v>
      </c>
      <c r="X39" s="1353"/>
      <c r="Y39" s="3738" t="s">
        <v>1694</v>
      </c>
      <c r="Z39" s="1354" t="str">
        <f t="shared" si="15"/>
        <v>物业管理</v>
      </c>
      <c r="AA39" s="1351">
        <f t="shared" si="3"/>
        <v>1</v>
      </c>
      <c r="AB39" s="1351">
        <f t="shared" si="4"/>
        <v>1</v>
      </c>
      <c r="AC39" s="1960">
        <f t="shared" si="5"/>
        <v>1</v>
      </c>
    </row>
    <row r="40" spans="1:29" ht="15">
      <c r="A40" s="423"/>
      <c r="B40" s="375" t="s">
        <v>1785</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16"/>
      <c r="M40" s="2710"/>
      <c r="N40" s="2710"/>
      <c r="O40" s="2710"/>
      <c r="P40" s="3736"/>
      <c r="Q40" s="1350" t="str">
        <f t="shared" si="11"/>
        <v>市政基础设施</v>
      </c>
      <c r="R40" s="703" t="s">
        <v>14</v>
      </c>
      <c r="S40" s="704">
        <f t="shared" si="12"/>
        <v>100</v>
      </c>
      <c r="T40" s="703" t="s">
        <v>14</v>
      </c>
      <c r="U40" s="704">
        <f t="shared" si="13"/>
        <v>100</v>
      </c>
      <c r="V40" s="703" t="s">
        <v>14</v>
      </c>
      <c r="W40" s="704">
        <f t="shared" si="14"/>
        <v>100</v>
      </c>
      <c r="X40" s="1353"/>
      <c r="Y40" s="3738"/>
      <c r="Z40" s="1354" t="str">
        <f t="shared" si="15"/>
        <v>市政基础设施</v>
      </c>
      <c r="AA40" s="1351">
        <f t="shared" si="3"/>
        <v>1</v>
      </c>
      <c r="AB40" s="1351">
        <f t="shared" si="4"/>
        <v>1</v>
      </c>
      <c r="AC40" s="1960">
        <f t="shared" si="5"/>
        <v>1</v>
      </c>
    </row>
    <row r="41" spans="1:29" ht="15">
      <c r="A41" s="423"/>
      <c r="B41" s="375" t="s">
        <v>1787</v>
      </c>
      <c r="C41" s="565" t="s">
        <v>3459</v>
      </c>
      <c r="D41" s="386">
        <v>100</v>
      </c>
      <c r="E41" s="565" t="s">
        <v>3459</v>
      </c>
      <c r="F41" s="412">
        <f>SUMIF(119:119,E41,120:120)-SUMIF(119:119,C41,120:120)+100</f>
        <v>100</v>
      </c>
      <c r="G41" s="565" t="s">
        <v>3459</v>
      </c>
      <c r="H41" s="386">
        <f>SUMIF(119:119,G41,120:120)-SUMIF(119:119,C41,120:120)+100</f>
        <v>100</v>
      </c>
      <c r="I41" s="565" t="s">
        <v>3459</v>
      </c>
      <c r="J41" s="386">
        <f>SUMIF(119:119,I41,120:120)-SUMIF(119:119,C41,120:120)+100</f>
        <v>100</v>
      </c>
      <c r="K41" s="561">
        <v>3</v>
      </c>
      <c r="L41" s="2716"/>
      <c r="M41" s="2710"/>
      <c r="N41" s="2710"/>
      <c r="O41" s="2710"/>
      <c r="P41" s="3736"/>
      <c r="Q41" s="1350" t="str">
        <f t="shared" si="11"/>
        <v>层高</v>
      </c>
      <c r="R41" s="703" t="s">
        <v>14</v>
      </c>
      <c r="S41" s="704">
        <f t="shared" si="12"/>
        <v>100</v>
      </c>
      <c r="T41" s="703" t="s">
        <v>14</v>
      </c>
      <c r="U41" s="704">
        <f t="shared" si="13"/>
        <v>100</v>
      </c>
      <c r="V41" s="703" t="s">
        <v>14</v>
      </c>
      <c r="W41" s="704">
        <f t="shared" si="14"/>
        <v>100</v>
      </c>
      <c r="X41" s="1353"/>
      <c r="Y41" s="3738"/>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6"/>
      <c r="Q42" s="705" t="str">
        <f t="shared" si="11"/>
        <v>单套建筑面积</v>
      </c>
      <c r="R42" s="706" t="s">
        <v>14</v>
      </c>
      <c r="S42" s="707">
        <f t="shared" si="12"/>
        <v>100</v>
      </c>
      <c r="T42" s="706" t="s">
        <v>14</v>
      </c>
      <c r="U42" s="707">
        <f t="shared" si="13"/>
        <v>100</v>
      </c>
      <c r="V42" s="706" t="s">
        <v>14</v>
      </c>
      <c r="W42" s="707">
        <f t="shared" si="14"/>
        <v>100</v>
      </c>
      <c r="X42" s="708"/>
      <c r="Y42" s="3738"/>
      <c r="Z42" s="709" t="str">
        <f t="shared" si="15"/>
        <v>单套建筑面积</v>
      </c>
      <c r="AA42" s="1351">
        <f t="shared" si="3"/>
        <v>1</v>
      </c>
      <c r="AB42" s="1351">
        <f t="shared" si="4"/>
        <v>1</v>
      </c>
      <c r="AC42" s="1960">
        <f t="shared" si="5"/>
        <v>1</v>
      </c>
    </row>
    <row r="43" spans="1:29" ht="15">
      <c r="A43" s="423"/>
      <c r="B43" s="375" t="s">
        <v>1790</v>
      </c>
      <c r="C43" s="411" t="s">
        <v>3436</v>
      </c>
      <c r="D43" s="386">
        <v>100</v>
      </c>
      <c r="E43" s="411" t="s">
        <v>3436</v>
      </c>
      <c r="F43" s="412">
        <f>SUMIF(123:123,E43,124:124)-SUMIF(123:123,C43,124:124)+100</f>
        <v>100</v>
      </c>
      <c r="G43" s="411" t="s">
        <v>3436</v>
      </c>
      <c r="H43" s="386">
        <f>SUMIF(123:123,G43,124:124)-SUMIF(123:123,C43,124:124)+100</f>
        <v>100</v>
      </c>
      <c r="I43" s="411" t="s">
        <v>3436</v>
      </c>
      <c r="J43" s="386">
        <f>SUMIF(123:123,I43,124:124)-SUMIF(123:123,C43,124:124)+100</f>
        <v>100</v>
      </c>
      <c r="K43" s="561">
        <v>2</v>
      </c>
      <c r="L43" s="2716"/>
      <c r="M43" s="2710"/>
      <c r="N43" s="2710"/>
      <c r="O43" s="2710"/>
      <c r="P43" s="3736"/>
      <c r="Q43" s="1350" t="str">
        <f t="shared" si="11"/>
        <v>内部装修</v>
      </c>
      <c r="R43" s="703" t="s">
        <v>14</v>
      </c>
      <c r="S43" s="704">
        <f t="shared" si="12"/>
        <v>100</v>
      </c>
      <c r="T43" s="703" t="s">
        <v>14</v>
      </c>
      <c r="U43" s="704">
        <f t="shared" si="13"/>
        <v>100</v>
      </c>
      <c r="V43" s="703" t="s">
        <v>14</v>
      </c>
      <c r="W43" s="704">
        <f t="shared" si="14"/>
        <v>100</v>
      </c>
      <c r="X43" s="1353"/>
      <c r="Y43" s="3738"/>
      <c r="Z43" s="1354" t="str">
        <f t="shared" si="15"/>
        <v>内部装修</v>
      </c>
      <c r="AA43" s="1351">
        <f t="shared" si="3"/>
        <v>1</v>
      </c>
      <c r="AB43" s="1351">
        <f t="shared" si="4"/>
        <v>1</v>
      </c>
      <c r="AC43" s="1960">
        <f t="shared" si="5"/>
        <v>1</v>
      </c>
    </row>
    <row r="44" spans="1:29" ht="15">
      <c r="A44" s="423"/>
      <c r="B44" s="375" t="s">
        <v>1705</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6"/>
      <c r="M44" s="2710"/>
      <c r="N44" s="2710"/>
      <c r="O44" s="2710"/>
      <c r="P44" s="3736"/>
      <c r="Q44" s="1350" t="str">
        <f t="shared" si="11"/>
        <v>内部装修维护情况</v>
      </c>
      <c r="R44" s="703" t="s">
        <v>14</v>
      </c>
      <c r="S44" s="704">
        <f t="shared" si="12"/>
        <v>100</v>
      </c>
      <c r="T44" s="703" t="s">
        <v>14</v>
      </c>
      <c r="U44" s="704">
        <f t="shared" si="13"/>
        <v>100</v>
      </c>
      <c r="V44" s="703" t="s">
        <v>14</v>
      </c>
      <c r="W44" s="704">
        <f t="shared" si="14"/>
        <v>100</v>
      </c>
      <c r="X44" s="1353"/>
      <c r="Y44" s="373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6"/>
      <c r="Q45" s="1341">
        <f t="shared" si="11"/>
        <v>111</v>
      </c>
      <c r="R45" s="699" t="s">
        <v>14</v>
      </c>
      <c r="S45" s="700">
        <f t="shared" si="12"/>
        <v>100</v>
      </c>
      <c r="T45" s="699" t="s">
        <v>14</v>
      </c>
      <c r="U45" s="700">
        <f t="shared" si="13"/>
        <v>100</v>
      </c>
      <c r="V45" s="699" t="s">
        <v>14</v>
      </c>
      <c r="W45" s="700">
        <f t="shared" si="14"/>
        <v>100</v>
      </c>
      <c r="X45" s="701"/>
      <c r="Y45" s="373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6"/>
      <c r="Q46" s="1350">
        <f t="shared" si="11"/>
        <v>111</v>
      </c>
      <c r="R46" s="703" t="s">
        <v>14</v>
      </c>
      <c r="S46" s="704">
        <f t="shared" si="12"/>
        <v>100</v>
      </c>
      <c r="T46" s="703" t="s">
        <v>14</v>
      </c>
      <c r="U46" s="704">
        <f t="shared" si="13"/>
        <v>100</v>
      </c>
      <c r="V46" s="703" t="s">
        <v>14</v>
      </c>
      <c r="W46" s="704">
        <f t="shared" si="14"/>
        <v>100</v>
      </c>
      <c r="X46" s="1353"/>
      <c r="Y46" s="373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7"/>
      <c r="Q47" s="1350">
        <f t="shared" si="11"/>
        <v>111</v>
      </c>
      <c r="R47" s="703" t="s">
        <v>14</v>
      </c>
      <c r="S47" s="704">
        <f t="shared" si="12"/>
        <v>100</v>
      </c>
      <c r="T47" s="703" t="s">
        <v>14</v>
      </c>
      <c r="U47" s="704">
        <f t="shared" si="13"/>
        <v>100</v>
      </c>
      <c r="V47" s="703" t="s">
        <v>14</v>
      </c>
      <c r="W47" s="704">
        <f t="shared" si="14"/>
        <v>100</v>
      </c>
      <c r="X47" s="1353"/>
      <c r="Y47" s="3739"/>
      <c r="Z47" s="1354">
        <f t="shared" si="15"/>
        <v>111</v>
      </c>
      <c r="AA47" s="1351">
        <f t="shared" si="3"/>
        <v>1</v>
      </c>
      <c r="AB47" s="1351">
        <f t="shared" si="4"/>
        <v>1</v>
      </c>
      <c r="AC47" s="1960">
        <f t="shared" si="5"/>
        <v>1</v>
      </c>
    </row>
    <row r="48" spans="1:29" ht="15">
      <c r="A48" s="430" t="s">
        <v>1706</v>
      </c>
      <c r="B48" s="431"/>
      <c r="C48" s="1152" t="s">
        <v>0</v>
      </c>
      <c r="D48" s="1153"/>
      <c r="E48" s="1154">
        <f>ROUND(38336*E51,0)</f>
        <v>38336</v>
      </c>
      <c r="F48" s="1155"/>
      <c r="G48" s="1154">
        <f>ROUND(38501*G51,0)</f>
        <v>38501</v>
      </c>
      <c r="H48" s="1157"/>
      <c r="I48" s="1154">
        <f>ROUND(39495*I51,0)</f>
        <v>39495</v>
      </c>
      <c r="J48" s="436"/>
      <c r="K48" s="712"/>
      <c r="L48" s="2718"/>
      <c r="M48" s="2710"/>
      <c r="N48" s="2710"/>
      <c r="O48" s="2710"/>
      <c r="P48" s="3713" t="str">
        <f>A48</f>
        <v>成交单价（元/平方米）</v>
      </c>
      <c r="Q48" s="3731"/>
      <c r="R48" s="3732">
        <f>E48</f>
        <v>38336</v>
      </c>
      <c r="S48" s="3732"/>
      <c r="T48" s="3732">
        <f>G48</f>
        <v>38501</v>
      </c>
      <c r="U48" s="3732"/>
      <c r="V48" s="3732">
        <f>I48</f>
        <v>39495</v>
      </c>
      <c r="W48" s="3732"/>
      <c r="X48" s="397"/>
      <c r="Y48" s="710"/>
      <c r="Z48" s="397"/>
      <c r="AA48" s="397"/>
      <c r="AB48" s="397"/>
      <c r="AC48" s="578"/>
    </row>
    <row r="49" spans="1:29" ht="15.75" thickBot="1">
      <c r="A49" s="437" t="s">
        <v>1791</v>
      </c>
      <c r="B49" s="438"/>
      <c r="C49" s="1158">
        <f>R50</f>
        <v>36218</v>
      </c>
      <c r="D49" s="2315" t="s">
        <v>2134</v>
      </c>
      <c r="E49" s="1159">
        <f>R49</f>
        <v>35447</v>
      </c>
      <c r="F49" s="2316"/>
      <c r="G49" s="1158">
        <f>T49</f>
        <v>37038</v>
      </c>
      <c r="H49" s="2316"/>
      <c r="I49" s="1159">
        <f>V49</f>
        <v>36168</v>
      </c>
      <c r="J49" s="2316"/>
      <c r="K49" s="2318">
        <f>F49+H49+J49</f>
        <v>0</v>
      </c>
      <c r="L49" s="2718"/>
      <c r="M49" s="2710"/>
      <c r="N49" s="2710"/>
      <c r="O49" s="2710"/>
      <c r="P49" s="3713" t="str">
        <f>A49</f>
        <v>比较价值（元/平方米）</v>
      </c>
      <c r="Q49" s="3731"/>
      <c r="R49" s="3732">
        <f>IF(F1="售价",ROUND(PRODUCT(R48,AA7:AA47),0),ROUND(PRODUCT(R48,AA7:AA47),1))</f>
        <v>35447</v>
      </c>
      <c r="S49" s="3732"/>
      <c r="T49" s="3732">
        <f>IF(F1="售价",ROUND(PRODUCT(T48,AB7:AB47),0),ROUND(PRODUCT(T48,AB7:AB47),1))</f>
        <v>37038</v>
      </c>
      <c r="U49" s="3732"/>
      <c r="V49" s="3732">
        <f>IF(F1="售价",ROUND(PRODUCT(V48,AC7:AC47),0),ROUND(PRODUCT(V48,AC7:AC47),1))</f>
        <v>36168</v>
      </c>
      <c r="W49" s="3732"/>
      <c r="X49" s="397"/>
      <c r="Y49" s="397"/>
      <c r="Z49" s="397"/>
      <c r="AA49" s="397"/>
      <c r="AB49" s="397"/>
      <c r="AC49" s="578"/>
    </row>
    <row r="50" spans="1:29" ht="15.75" thickBot="1">
      <c r="A50" s="441" t="s">
        <v>1792</v>
      </c>
      <c r="B50" s="442"/>
      <c r="C50" s="1161">
        <f>R50</f>
        <v>36218</v>
      </c>
      <c r="D50" s="1161"/>
      <c r="E50" s="1161"/>
      <c r="F50" s="1161"/>
      <c r="G50" s="1161"/>
      <c r="H50" s="1161"/>
      <c r="I50" s="1161"/>
      <c r="J50" s="443"/>
      <c r="K50" s="713"/>
      <c r="L50" s="2718"/>
      <c r="M50" s="2710"/>
      <c r="N50" s="2710"/>
      <c r="O50" s="2710"/>
      <c r="P50" s="3755" t="str">
        <f>A50</f>
        <v>估价对象XX用房的比较价值（楼面单价，元/平方米）</v>
      </c>
      <c r="Q50" s="3756"/>
      <c r="R50" s="3757">
        <f>IF(F1="售价",ROUND(IF(D49="简单平均",AVERAGE(R49:V49),R49*F49+T49*H49+V49*J49),0),ROUND(IF(D49="简单平均",AVERAGE(R49:V49),R49*F49+T49*H49+V49*J49),1))</f>
        <v>36218</v>
      </c>
      <c r="S50" s="3757"/>
      <c r="T50" s="3757"/>
      <c r="U50" s="3757"/>
      <c r="V50" s="3757"/>
      <c r="W50" s="3757"/>
      <c r="X50" s="1944"/>
      <c r="Y50" s="1944"/>
      <c r="Z50" s="1944"/>
      <c r="AA50" s="1944"/>
      <c r="AB50" s="1944"/>
      <c r="AC50" s="1945"/>
    </row>
    <row r="51" spans="1:29">
      <c r="A51" s="2719"/>
      <c r="B51" s="2719"/>
      <c r="C51" s="2719"/>
      <c r="D51" s="2719"/>
      <c r="E51" s="2719">
        <v>1</v>
      </c>
      <c r="F51" s="2719"/>
      <c r="G51" s="2719">
        <f>E51</f>
        <v>1</v>
      </c>
      <c r="H51" s="2719"/>
      <c r="I51" s="2719">
        <f>G51</f>
        <v>1</v>
      </c>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8.1501960673681761E-2</v>
      </c>
      <c r="F53" s="449" t="str">
        <f>IF(OR(E53&gt;=0.3,E53&lt;=-0.3),"超过30%","")</f>
        <v/>
      </c>
      <c r="G53" s="448">
        <f>IF(G48&lt;G49,G49/G48-1,G48/G49-1)</f>
        <v>3.949997300070196E-2</v>
      </c>
      <c r="H53" s="449" t="str">
        <f>IF(OR(G53&gt;=0.3,G53&lt;=-0.3),"超过30%","")</f>
        <v/>
      </c>
      <c r="I53" s="448">
        <f>IF(I48&lt;I49,I49/I48-1,I48/I49-1)</f>
        <v>9.1987392169873949E-2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4.4883911191356152E-2</v>
      </c>
      <c r="F54" s="449" t="str">
        <f>IF(OR(E54&gt;=0.2,E54&lt;=-0.2),"超过20%","")</f>
        <v/>
      </c>
      <c r="G54" s="448">
        <f>IF(G49&lt;I49,I49/G49-1,G49/I49-1)</f>
        <v>2.4054412740544207E-2</v>
      </c>
      <c r="H54" s="449" t="str">
        <f>IF(OR(G54&gt;=0.2,G54&lt;=-0.2),"超过20%","")</f>
        <v/>
      </c>
      <c r="I54" s="448">
        <f>IF(I49&lt;E49,E49/I49-1,I49/E49-1)</f>
        <v>2.034022625327947E-2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4.3040484140233204E-3</v>
      </c>
      <c r="F55" s="449" t="str">
        <f>IF(OR(E55&gt;=0.3,E55&lt;=-0.3),"超过30%","")</f>
        <v/>
      </c>
      <c r="G55" s="448">
        <f>IF(G48&lt;I48,I48/G48-1,G48/I48-1)</f>
        <v>2.5817511233474422E-2</v>
      </c>
      <c r="H55" s="449" t="str">
        <f>IF(OR(G55&gt;=0.3,G55&lt;=-0.3),"超过30%","")</f>
        <v/>
      </c>
      <c r="I55" s="448">
        <f>IF(I48&lt;E48,E48/I48-1,I48/E48-1)</f>
        <v>3.0232679465776346E-2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1796</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97</v>
      </c>
      <c r="E78" s="493">
        <f>D78-$K15</f>
        <v>94</v>
      </c>
      <c r="F78" s="493">
        <f>E78-$K15</f>
        <v>91</v>
      </c>
      <c r="G78" s="493">
        <f>F78-$K15</f>
        <v>88</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3445" t="s">
        <v>3401</v>
      </c>
      <c r="D87" s="3445" t="s">
        <v>3402</v>
      </c>
      <c r="E87" s="3445" t="s">
        <v>3403</v>
      </c>
      <c r="F87" s="3445" t="s">
        <v>3404</v>
      </c>
      <c r="G87" s="3445" t="s">
        <v>3405</v>
      </c>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3445" t="s">
        <v>3406</v>
      </c>
      <c r="D89" s="3445" t="s">
        <v>3408</v>
      </c>
      <c r="E89" s="3445" t="s">
        <v>3409</v>
      </c>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46" t="s">
        <v>3410</v>
      </c>
      <c r="D101" s="3446" t="s">
        <v>3411</v>
      </c>
      <c r="E101" s="3446" t="s">
        <v>3412</v>
      </c>
      <c r="F101" s="3446" t="s">
        <v>3413</v>
      </c>
      <c r="G101" s="3446" t="s">
        <v>3414</v>
      </c>
      <c r="H101" s="3446" t="s">
        <v>3415</v>
      </c>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700(含)-900</v>
      </c>
      <c r="G103" s="527" t="str">
        <f t="shared" si="23"/>
        <v>900(含)-1100</v>
      </c>
      <c r="H103" s="527" t="str">
        <f t="shared" si="23"/>
        <v>1100(含)-1300</v>
      </c>
      <c r="I103" s="527" t="str">
        <f t="shared" si="23"/>
        <v>1300(含)-1500</v>
      </c>
      <c r="J103" s="527" t="str">
        <f t="shared" si="23"/>
        <v>1500(含)-1700</v>
      </c>
      <c r="K103" s="527" t="str">
        <f t="shared" si="23"/>
        <v>1700(含)-2000</v>
      </c>
      <c r="L103" s="527" t="str">
        <f t="shared" si="23"/>
        <v>2000(含)-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3447">
        <v>100</v>
      </c>
      <c r="D104" s="3447">
        <v>300</v>
      </c>
      <c r="E104" s="3447">
        <v>500</v>
      </c>
      <c r="F104" s="3447">
        <v>700</v>
      </c>
      <c r="G104" s="3447">
        <v>900</v>
      </c>
      <c r="H104" s="3447">
        <v>1100</v>
      </c>
      <c r="I104" s="3447">
        <v>1300</v>
      </c>
      <c r="J104" s="3447">
        <v>1500</v>
      </c>
      <c r="K104" s="3447">
        <v>1700</v>
      </c>
      <c r="L104" s="3447">
        <v>2000</v>
      </c>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3448">
        <v>99</v>
      </c>
      <c r="D105" s="3448">
        <v>100</v>
      </c>
      <c r="E105" s="3448">
        <v>99</v>
      </c>
      <c r="F105" s="3448">
        <v>98</v>
      </c>
      <c r="G105" s="3448">
        <v>97</v>
      </c>
      <c r="H105" s="3448">
        <v>96</v>
      </c>
      <c r="I105" s="3448">
        <v>95</v>
      </c>
      <c r="J105" s="3448">
        <v>94</v>
      </c>
      <c r="K105" s="3448">
        <v>93</v>
      </c>
      <c r="L105" s="3448">
        <v>92</v>
      </c>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49" t="s">
        <v>3416</v>
      </c>
      <c r="D106" s="3449" t="s">
        <v>3417</v>
      </c>
      <c r="E106" s="3450" t="s">
        <v>3418</v>
      </c>
      <c r="F106" s="1966"/>
      <c r="G106" s="1966"/>
      <c r="H106" s="1966"/>
      <c r="I106" s="1966"/>
      <c r="J106" s="1966"/>
      <c r="K106" s="534"/>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49" t="s">
        <v>3419</v>
      </c>
      <c r="D108" s="3449" t="s">
        <v>3420</v>
      </c>
      <c r="E108" s="3449" t="s">
        <v>3421</v>
      </c>
      <c r="F108" s="3450" t="s">
        <v>3422</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3449" t="s">
        <v>3423</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45"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3449" t="s">
        <v>3426</v>
      </c>
      <c r="D117" s="3449" t="s">
        <v>3427</v>
      </c>
      <c r="E117" s="3449" t="s">
        <v>3428</v>
      </c>
      <c r="F117" s="3449" t="s">
        <v>3429</v>
      </c>
      <c r="G117" s="3449" t="s">
        <v>3430</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3450" t="s">
        <v>3431</v>
      </c>
      <c r="D119" s="3450" t="s">
        <v>3432</v>
      </c>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3449" t="s">
        <v>3419</v>
      </c>
      <c r="D123" s="3449" t="s">
        <v>3420</v>
      </c>
      <c r="E123" s="3449" t="s">
        <v>3421</v>
      </c>
      <c r="F123" s="3450" t="s">
        <v>3422</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1286.47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714" t="s">
        <v>1768</v>
      </c>
      <c r="D4" s="3715"/>
      <c r="E4" s="3716" t="s">
        <v>1769</v>
      </c>
      <c r="F4" s="3717"/>
      <c r="G4" s="3714" t="s">
        <v>1770</v>
      </c>
      <c r="H4" s="3715"/>
      <c r="I4" s="3714" t="s">
        <v>1771</v>
      </c>
      <c r="J4" s="3715"/>
      <c r="K4" s="559" t="s">
        <v>1772</v>
      </c>
      <c r="L4" s="911"/>
      <c r="M4" s="912"/>
      <c r="N4" s="912"/>
      <c r="O4" s="912"/>
      <c r="P4" s="3718" t="s">
        <v>1773</v>
      </c>
      <c r="Q4" s="3719"/>
      <c r="R4" s="3701" t="s">
        <v>1769</v>
      </c>
      <c r="S4" s="3702"/>
      <c r="T4" s="3701" t="s">
        <v>1770</v>
      </c>
      <c r="U4" s="3702"/>
      <c r="V4" s="3726" t="s">
        <v>1771</v>
      </c>
      <c r="W4" s="3726"/>
      <c r="X4" s="1353"/>
      <c r="Y4" s="3701" t="s">
        <v>1773</v>
      </c>
      <c r="Z4" s="3702"/>
      <c r="AA4" s="3696" t="s">
        <v>1769</v>
      </c>
      <c r="AB4" s="3697" t="s">
        <v>1770</v>
      </c>
      <c r="AC4" s="3696" t="s">
        <v>1771</v>
      </c>
    </row>
    <row r="5" spans="1:29" ht="15">
      <c r="A5" s="358"/>
      <c r="B5" s="359"/>
      <c r="C5" s="3707" t="s">
        <v>1671</v>
      </c>
      <c r="D5" s="3708"/>
      <c r="E5" s="3705" t="s">
        <v>1672</v>
      </c>
      <c r="F5" s="3706"/>
      <c r="G5" s="3707" t="s">
        <v>1673</v>
      </c>
      <c r="H5" s="3708"/>
      <c r="I5" s="3707" t="s">
        <v>1674</v>
      </c>
      <c r="J5" s="3708"/>
      <c r="K5" s="559"/>
      <c r="L5" s="911"/>
      <c r="M5" s="912"/>
      <c r="N5" s="912"/>
      <c r="O5" s="912"/>
      <c r="P5" s="3720"/>
      <c r="Q5" s="3721"/>
      <c r="R5" s="3703"/>
      <c r="S5" s="3704"/>
      <c r="T5" s="3703"/>
      <c r="U5" s="3704"/>
      <c r="V5" s="3726"/>
      <c r="W5" s="3726"/>
      <c r="X5" s="1353"/>
      <c r="Y5" s="3703"/>
      <c r="Z5" s="3704"/>
      <c r="AA5" s="3697"/>
      <c r="AB5" s="3697"/>
      <c r="AC5" s="3697"/>
    </row>
    <row r="6" spans="1:29" ht="15.75" thickBot="1">
      <c r="A6" s="360"/>
      <c r="B6" s="361"/>
      <c r="C6" s="3709" t="s">
        <v>1675</v>
      </c>
      <c r="D6" s="3710"/>
      <c r="E6" s="3711" t="s">
        <v>1675</v>
      </c>
      <c r="F6" s="3712"/>
      <c r="G6" s="3709" t="s">
        <v>1675</v>
      </c>
      <c r="H6" s="3710"/>
      <c r="I6" s="3709" t="s">
        <v>1675</v>
      </c>
      <c r="J6" s="3710"/>
      <c r="K6" s="559" t="s">
        <v>1676</v>
      </c>
      <c r="L6" s="911"/>
      <c r="M6" s="912"/>
      <c r="N6" s="912"/>
      <c r="O6" s="912"/>
      <c r="P6" s="3722"/>
      <c r="Q6" s="3723"/>
      <c r="R6" s="3703"/>
      <c r="S6" s="3704"/>
      <c r="T6" s="3724"/>
      <c r="U6" s="3725"/>
      <c r="V6" s="3726"/>
      <c r="W6" s="3726"/>
      <c r="X6" s="1353"/>
      <c r="Y6" s="3724"/>
      <c r="Z6" s="3725"/>
      <c r="AA6" s="3698"/>
      <c r="AB6" s="3698"/>
      <c r="AC6" s="3698"/>
    </row>
    <row r="7" spans="1:29" s="108" customFormat="1" ht="15.75" thickBot="1">
      <c r="A7" s="362" t="s">
        <v>1677</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3"/>
      <c r="M7" s="914"/>
      <c r="N7" s="914"/>
      <c r="O7" s="914"/>
      <c r="P7" s="3699" t="s">
        <v>1678</v>
      </c>
      <c r="Q7" s="3727"/>
      <c r="R7" s="699" t="s">
        <v>14</v>
      </c>
      <c r="S7" s="700">
        <f t="shared" ref="S7:S15" si="0">F7</f>
        <v>0</v>
      </c>
      <c r="T7" s="699" t="s">
        <v>14</v>
      </c>
      <c r="U7" s="700">
        <f t="shared" ref="U7:U15" si="1">H7</f>
        <v>0</v>
      </c>
      <c r="V7" s="699" t="s">
        <v>14</v>
      </c>
      <c r="W7" s="700">
        <f t="shared" ref="W7:W15" si="2">J7</f>
        <v>0</v>
      </c>
      <c r="X7" s="701"/>
      <c r="Y7" s="3699" t="s">
        <v>1678</v>
      </c>
      <c r="Z7" s="3700"/>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9" t="s">
        <v>1681</v>
      </c>
      <c r="Q8" s="3700"/>
      <c r="R8" s="699" t="s">
        <v>14</v>
      </c>
      <c r="S8" s="700">
        <f t="shared" si="0"/>
        <v>100</v>
      </c>
      <c r="T8" s="699" t="s">
        <v>14</v>
      </c>
      <c r="U8" s="700">
        <f t="shared" si="1"/>
        <v>100</v>
      </c>
      <c r="V8" s="699" t="s">
        <v>14</v>
      </c>
      <c r="W8" s="700">
        <f t="shared" si="2"/>
        <v>100</v>
      </c>
      <c r="X8" s="701"/>
      <c r="Y8" s="3699" t="s">
        <v>1681</v>
      </c>
      <c r="Z8" s="3700"/>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1" t="s">
        <v>1684</v>
      </c>
      <c r="Q9" s="1341" t="str">
        <f t="shared" ref="Q9:Q15" si="6">B9</f>
        <v>用途</v>
      </c>
      <c r="R9" s="699" t="s">
        <v>14</v>
      </c>
      <c r="S9" s="700">
        <f t="shared" si="0"/>
        <v>100</v>
      </c>
      <c r="T9" s="699" t="s">
        <v>14</v>
      </c>
      <c r="U9" s="700">
        <f t="shared" si="1"/>
        <v>100</v>
      </c>
      <c r="V9" s="699" t="s">
        <v>14</v>
      </c>
      <c r="W9" s="700">
        <f t="shared" si="2"/>
        <v>100</v>
      </c>
      <c r="X9" s="701"/>
      <c r="Y9" s="3646" t="s">
        <v>1685</v>
      </c>
      <c r="Z9" s="52" t="str">
        <f t="shared" ref="Z9:Z15" si="7">Q9</f>
        <v>用途</v>
      </c>
      <c r="AA9" s="702">
        <f t="shared" si="3"/>
        <v>1</v>
      </c>
      <c r="AB9" s="702">
        <f t="shared" si="4"/>
        <v>1</v>
      </c>
      <c r="AC9" s="702">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31"/>
      <c r="Q10" s="1341" t="str">
        <f t="shared" si="6"/>
        <v>土地使用年限（年）</v>
      </c>
      <c r="R10" s="699" t="s">
        <v>14</v>
      </c>
      <c r="S10" s="700">
        <f t="shared" si="0"/>
        <v>100</v>
      </c>
      <c r="T10" s="699" t="s">
        <v>14</v>
      </c>
      <c r="U10" s="700">
        <f t="shared" si="1"/>
        <v>100</v>
      </c>
      <c r="V10" s="699" t="s">
        <v>14</v>
      </c>
      <c r="W10" s="700">
        <f t="shared" si="2"/>
        <v>100</v>
      </c>
      <c r="X10" s="701"/>
      <c r="Y10" s="3646"/>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1"/>
      <c r="Q11" s="1341" t="str">
        <f t="shared" si="6"/>
        <v>容积率</v>
      </c>
      <c r="R11" s="699" t="s">
        <v>14</v>
      </c>
      <c r="S11" s="700">
        <f t="shared" si="0"/>
        <v>100</v>
      </c>
      <c r="T11" s="699" t="s">
        <v>14</v>
      </c>
      <c r="U11" s="700">
        <f t="shared" si="1"/>
        <v>100</v>
      </c>
      <c r="V11" s="699" t="s">
        <v>14</v>
      </c>
      <c r="W11" s="700">
        <f t="shared" si="2"/>
        <v>100</v>
      </c>
      <c r="X11" s="701"/>
      <c r="Y11" s="36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31"/>
      <c r="Q12" s="1341">
        <f t="shared" si="6"/>
        <v>111</v>
      </c>
      <c r="R12" s="699" t="s">
        <v>14</v>
      </c>
      <c r="S12" s="700">
        <f t="shared" si="0"/>
        <v>100</v>
      </c>
      <c r="T12" s="699" t="s">
        <v>14</v>
      </c>
      <c r="U12" s="700">
        <f t="shared" si="1"/>
        <v>100</v>
      </c>
      <c r="V12" s="699" t="s">
        <v>14</v>
      </c>
      <c r="W12" s="700">
        <f t="shared" si="2"/>
        <v>100</v>
      </c>
      <c r="X12" s="701"/>
      <c r="Y12" s="36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31"/>
      <c r="Q13" s="1341">
        <f t="shared" si="6"/>
        <v>111</v>
      </c>
      <c r="R13" s="699" t="s">
        <v>14</v>
      </c>
      <c r="S13" s="700">
        <f t="shared" si="0"/>
        <v>100</v>
      </c>
      <c r="T13" s="699" t="s">
        <v>14</v>
      </c>
      <c r="U13" s="700">
        <f t="shared" si="1"/>
        <v>100</v>
      </c>
      <c r="V13" s="699" t="s">
        <v>14</v>
      </c>
      <c r="W13" s="700">
        <f t="shared" si="2"/>
        <v>100</v>
      </c>
      <c r="X13" s="701"/>
      <c r="Y13" s="36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31"/>
      <c r="Q14" s="1341">
        <f t="shared" si="6"/>
        <v>111</v>
      </c>
      <c r="R14" s="699" t="s">
        <v>14</v>
      </c>
      <c r="S14" s="700">
        <f t="shared" si="0"/>
        <v>100</v>
      </c>
      <c r="T14" s="699" t="s">
        <v>14</v>
      </c>
      <c r="U14" s="700">
        <f t="shared" si="1"/>
        <v>100</v>
      </c>
      <c r="V14" s="699" t="s">
        <v>14</v>
      </c>
      <c r="W14" s="700">
        <f t="shared" si="2"/>
        <v>100</v>
      </c>
      <c r="X14" s="701"/>
      <c r="Y14" s="3646"/>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3" t="s">
        <v>1689</v>
      </c>
      <c r="Q15" s="1350" t="str">
        <f t="shared" si="6"/>
        <v>产业集聚程度</v>
      </c>
      <c r="R15" s="703" t="s">
        <v>14</v>
      </c>
      <c r="S15" s="704">
        <f t="shared" si="0"/>
        <v>100</v>
      </c>
      <c r="T15" s="703" t="s">
        <v>14</v>
      </c>
      <c r="U15" s="704">
        <f t="shared" si="1"/>
        <v>100</v>
      </c>
      <c r="V15" s="703" t="s">
        <v>14</v>
      </c>
      <c r="W15" s="704">
        <f t="shared" si="2"/>
        <v>100</v>
      </c>
      <c r="X15" s="1353"/>
      <c r="Y15" s="3733"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4"/>
      <c r="Q16" s="1350"/>
      <c r="R16" s="703"/>
      <c r="S16" s="704"/>
      <c r="T16" s="703"/>
      <c r="U16" s="704"/>
      <c r="V16" s="703"/>
      <c r="W16" s="704"/>
      <c r="X16" s="1353"/>
      <c r="Y16" s="3734"/>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4"/>
      <c r="Q18" s="1350"/>
      <c r="R18" s="703"/>
      <c r="S18" s="704"/>
      <c r="T18" s="703"/>
      <c r="U18" s="704"/>
      <c r="V18" s="703"/>
      <c r="W18" s="704"/>
      <c r="X18" s="1353"/>
      <c r="Y18" s="3734"/>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4"/>
      <c r="Q19" s="1350" t="str">
        <f>B19</f>
        <v>公共配套设施</v>
      </c>
      <c r="R19" s="703" t="s">
        <v>14</v>
      </c>
      <c r="S19" s="704">
        <f>F19</f>
        <v>100</v>
      </c>
      <c r="T19" s="703" t="s">
        <v>14</v>
      </c>
      <c r="U19" s="704">
        <f>H19</f>
        <v>100</v>
      </c>
      <c r="V19" s="703" t="s">
        <v>14</v>
      </c>
      <c r="W19" s="704">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4"/>
      <c r="Q20" s="1350"/>
      <c r="R20" s="703"/>
      <c r="S20" s="704"/>
      <c r="T20" s="703"/>
      <c r="U20" s="704"/>
      <c r="V20" s="703"/>
      <c r="W20" s="704"/>
      <c r="X20" s="1353"/>
      <c r="Y20" s="3734"/>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4"/>
      <c r="Q21" s="1350" t="str">
        <f>B21</f>
        <v>基础设施水平</v>
      </c>
      <c r="R21" s="703" t="s">
        <v>14</v>
      </c>
      <c r="S21" s="704">
        <f>F21</f>
        <v>100</v>
      </c>
      <c r="T21" s="703" t="s">
        <v>14</v>
      </c>
      <c r="U21" s="704">
        <f>H21</f>
        <v>100</v>
      </c>
      <c r="V21" s="703" t="s">
        <v>14</v>
      </c>
      <c r="W21" s="704">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4"/>
      <c r="Q22" s="1350"/>
      <c r="R22" s="703"/>
      <c r="S22" s="704"/>
      <c r="T22" s="703"/>
      <c r="U22" s="704"/>
      <c r="V22" s="703"/>
      <c r="W22" s="704"/>
      <c r="X22" s="1353"/>
      <c r="Y22" s="3734"/>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4"/>
      <c r="Q23" s="1350" t="str">
        <f>B23</f>
        <v>环境质量</v>
      </c>
      <c r="R23" s="703" t="s">
        <v>14</v>
      </c>
      <c r="S23" s="704">
        <f>F23</f>
        <v>100</v>
      </c>
      <c r="T23" s="703" t="s">
        <v>14</v>
      </c>
      <c r="U23" s="704">
        <f>H23</f>
        <v>100</v>
      </c>
      <c r="V23" s="703" t="s">
        <v>14</v>
      </c>
      <c r="W23" s="704">
        <f>J23</f>
        <v>100</v>
      </c>
      <c r="X23" s="1353"/>
      <c r="Y23" s="373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4"/>
      <c r="Q24" s="1350"/>
      <c r="R24" s="703"/>
      <c r="S24" s="704"/>
      <c r="T24" s="703"/>
      <c r="U24" s="704"/>
      <c r="V24" s="703"/>
      <c r="W24" s="704"/>
      <c r="X24" s="1353"/>
      <c r="Y24" s="373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4"/>
      <c r="Q25" s="1350">
        <f>B25</f>
        <v>111</v>
      </c>
      <c r="R25" s="703" t="s">
        <v>14</v>
      </c>
      <c r="S25" s="704">
        <f>F25</f>
        <v>100</v>
      </c>
      <c r="T25" s="703" t="s">
        <v>14</v>
      </c>
      <c r="U25" s="704">
        <f>H25</f>
        <v>100</v>
      </c>
      <c r="V25" s="703" t="s">
        <v>14</v>
      </c>
      <c r="W25" s="704">
        <f>J25</f>
        <v>100</v>
      </c>
      <c r="X25" s="1353"/>
      <c r="Y25" s="373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4"/>
      <c r="Q26" s="1350">
        <f t="shared" ref="Q26:Q40" si="11">B26</f>
        <v>111</v>
      </c>
      <c r="R26" s="703" t="s">
        <v>14</v>
      </c>
      <c r="S26" s="704">
        <f>F26</f>
        <v>100</v>
      </c>
      <c r="T26" s="703" t="s">
        <v>14</v>
      </c>
      <c r="U26" s="704">
        <f>H26</f>
        <v>100</v>
      </c>
      <c r="V26" s="703" t="s">
        <v>14</v>
      </c>
      <c r="W26" s="704">
        <f>J26</f>
        <v>100</v>
      </c>
      <c r="X26" s="1353"/>
      <c r="Y26" s="373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4"/>
      <c r="Q27" s="1341">
        <f t="shared" si="11"/>
        <v>111</v>
      </c>
      <c r="R27" s="699" t="s">
        <v>14</v>
      </c>
      <c r="S27" s="700">
        <f>F27</f>
        <v>100</v>
      </c>
      <c r="T27" s="699" t="s">
        <v>14</v>
      </c>
      <c r="U27" s="700">
        <f>H27</f>
        <v>100</v>
      </c>
      <c r="V27" s="699" t="s">
        <v>14</v>
      </c>
      <c r="W27" s="700">
        <f>J27</f>
        <v>100</v>
      </c>
      <c r="X27" s="701"/>
      <c r="Y27" s="373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4"/>
      <c r="Q28" s="1350">
        <f t="shared" si="11"/>
        <v>111</v>
      </c>
      <c r="R28" s="703" t="s">
        <v>14</v>
      </c>
      <c r="S28" s="704">
        <f t="shared" ref="S28:S40" si="12">F28</f>
        <v>100</v>
      </c>
      <c r="T28" s="703" t="s">
        <v>14</v>
      </c>
      <c r="U28" s="704">
        <f t="shared" ref="U28:U40" si="13">H28</f>
        <v>100</v>
      </c>
      <c r="V28" s="703" t="s">
        <v>14</v>
      </c>
      <c r="W28" s="704">
        <f t="shared" ref="W28:W40" si="14">J28</f>
        <v>100</v>
      </c>
      <c r="X28" s="1353"/>
      <c r="Y28" s="3734"/>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58" t="s">
        <v>1694</v>
      </c>
      <c r="Q29" s="1350" t="str">
        <f t="shared" si="11"/>
        <v>建筑类型</v>
      </c>
      <c r="R29" s="703" t="s">
        <v>14</v>
      </c>
      <c r="S29" s="704">
        <f t="shared" si="12"/>
        <v>100</v>
      </c>
      <c r="T29" s="703" t="s">
        <v>14</v>
      </c>
      <c r="U29" s="704">
        <f t="shared" si="13"/>
        <v>100</v>
      </c>
      <c r="V29" s="703" t="s">
        <v>14</v>
      </c>
      <c r="W29" s="704">
        <f t="shared" si="14"/>
        <v>100</v>
      </c>
      <c r="X29" s="1353"/>
      <c r="Y29" s="3738"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8"/>
      <c r="Q30" s="705" t="str">
        <f t="shared" si="11"/>
        <v>项目建筑规模</v>
      </c>
      <c r="R30" s="706" t="s">
        <v>14</v>
      </c>
      <c r="S30" s="707" t="e">
        <f t="shared" si="12"/>
        <v>#N/A</v>
      </c>
      <c r="T30" s="706" t="s">
        <v>14</v>
      </c>
      <c r="U30" s="707" t="e">
        <f t="shared" si="13"/>
        <v>#N/A</v>
      </c>
      <c r="V30" s="706" t="s">
        <v>14</v>
      </c>
      <c r="W30" s="707" t="e">
        <f t="shared" si="14"/>
        <v>#N/A</v>
      </c>
      <c r="X30" s="708"/>
      <c r="Y30" s="3738"/>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8"/>
      <c r="Q31" s="1350" t="str">
        <f t="shared" si="11"/>
        <v>建筑结构</v>
      </c>
      <c r="R31" s="703" t="s">
        <v>14</v>
      </c>
      <c r="S31" s="704">
        <f t="shared" si="12"/>
        <v>100</v>
      </c>
      <c r="T31" s="703" t="s">
        <v>14</v>
      </c>
      <c r="U31" s="704">
        <f t="shared" si="13"/>
        <v>100</v>
      </c>
      <c r="V31" s="703" t="s">
        <v>14</v>
      </c>
      <c r="W31" s="704">
        <f t="shared" si="14"/>
        <v>100</v>
      </c>
      <c r="X31" s="1353"/>
      <c r="Y31" s="3738"/>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8"/>
      <c r="Q32" s="1350" t="str">
        <f t="shared" si="11"/>
        <v>公共部分装修</v>
      </c>
      <c r="R32" s="703" t="s">
        <v>14</v>
      </c>
      <c r="S32" s="704">
        <f t="shared" si="12"/>
        <v>100</v>
      </c>
      <c r="T32" s="703" t="s">
        <v>14</v>
      </c>
      <c r="U32" s="704">
        <f t="shared" si="13"/>
        <v>100</v>
      </c>
      <c r="V32" s="703" t="s">
        <v>14</v>
      </c>
      <c r="W32" s="704">
        <f t="shared" si="14"/>
        <v>100</v>
      </c>
      <c r="X32" s="1353"/>
      <c r="Y32" s="3738"/>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8"/>
      <c r="Q33" s="1350" t="str">
        <f t="shared" si="11"/>
        <v>成新度</v>
      </c>
      <c r="R33" s="703" t="s">
        <v>14</v>
      </c>
      <c r="S33" s="704" t="e">
        <f t="shared" si="12"/>
        <v>#N/A</v>
      </c>
      <c r="T33" s="703" t="s">
        <v>14</v>
      </c>
      <c r="U33" s="704" t="e">
        <f t="shared" si="13"/>
        <v>#N/A</v>
      </c>
      <c r="V33" s="703" t="s">
        <v>14</v>
      </c>
      <c r="W33" s="704" t="e">
        <f t="shared" si="14"/>
        <v>#N/A</v>
      </c>
      <c r="X33" s="1353"/>
      <c r="Y33" s="3738"/>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8"/>
      <c r="Q34" s="1341" t="str">
        <f t="shared" si="11"/>
        <v>物业管理</v>
      </c>
      <c r="R34" s="699" t="s">
        <v>14</v>
      </c>
      <c r="S34" s="700">
        <f t="shared" si="12"/>
        <v>100</v>
      </c>
      <c r="T34" s="699" t="s">
        <v>14</v>
      </c>
      <c r="U34" s="700">
        <f t="shared" si="13"/>
        <v>100</v>
      </c>
      <c r="V34" s="699" t="s">
        <v>14</v>
      </c>
      <c r="W34" s="700">
        <f t="shared" si="14"/>
        <v>100</v>
      </c>
      <c r="X34" s="701"/>
      <c r="Y34" s="3738"/>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8" t="s">
        <v>1694</v>
      </c>
      <c r="Q35" s="1350" t="str">
        <f t="shared" si="11"/>
        <v>市政基础设施</v>
      </c>
      <c r="R35" s="703" t="s">
        <v>14</v>
      </c>
      <c r="S35" s="704">
        <f t="shared" si="12"/>
        <v>100</v>
      </c>
      <c r="T35" s="703" t="s">
        <v>14</v>
      </c>
      <c r="U35" s="704">
        <f t="shared" si="13"/>
        <v>100</v>
      </c>
      <c r="V35" s="703" t="s">
        <v>14</v>
      </c>
      <c r="W35" s="704">
        <f t="shared" si="14"/>
        <v>100</v>
      </c>
      <c r="X35" s="1353"/>
      <c r="Y35" s="3738"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8"/>
      <c r="Q36" s="1350" t="str">
        <f t="shared" si="11"/>
        <v>内部装修</v>
      </c>
      <c r="R36" s="703" t="s">
        <v>14</v>
      </c>
      <c r="S36" s="704">
        <f t="shared" si="12"/>
        <v>100</v>
      </c>
      <c r="T36" s="703" t="s">
        <v>14</v>
      </c>
      <c r="U36" s="704">
        <f t="shared" si="13"/>
        <v>100</v>
      </c>
      <c r="V36" s="703" t="s">
        <v>14</v>
      </c>
      <c r="W36" s="704">
        <f t="shared" si="14"/>
        <v>100</v>
      </c>
      <c r="X36" s="1353"/>
      <c r="Y36" s="3738"/>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8"/>
      <c r="Q37" s="1350" t="str">
        <f t="shared" si="11"/>
        <v>内部装修状况</v>
      </c>
      <c r="R37" s="703" t="s">
        <v>14</v>
      </c>
      <c r="S37" s="704">
        <f t="shared" si="12"/>
        <v>100</v>
      </c>
      <c r="T37" s="703" t="s">
        <v>14</v>
      </c>
      <c r="U37" s="704">
        <f t="shared" si="13"/>
        <v>100</v>
      </c>
      <c r="V37" s="703" t="s">
        <v>14</v>
      </c>
      <c r="W37" s="704">
        <f t="shared" si="14"/>
        <v>100</v>
      </c>
      <c r="X37" s="1353"/>
      <c r="Y37" s="373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8"/>
      <c r="Q38" s="705">
        <f t="shared" si="11"/>
        <v>111</v>
      </c>
      <c r="R38" s="706" t="s">
        <v>14</v>
      </c>
      <c r="S38" s="707">
        <f t="shared" si="12"/>
        <v>100</v>
      </c>
      <c r="T38" s="706" t="s">
        <v>14</v>
      </c>
      <c r="U38" s="707">
        <f t="shared" si="13"/>
        <v>100</v>
      </c>
      <c r="V38" s="706" t="s">
        <v>14</v>
      </c>
      <c r="W38" s="707">
        <f t="shared" si="14"/>
        <v>100</v>
      </c>
      <c r="X38" s="708"/>
      <c r="Y38" s="373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8"/>
      <c r="Q39" s="1350">
        <f t="shared" si="11"/>
        <v>111</v>
      </c>
      <c r="R39" s="703" t="s">
        <v>14</v>
      </c>
      <c r="S39" s="704">
        <f t="shared" si="12"/>
        <v>100</v>
      </c>
      <c r="T39" s="703" t="s">
        <v>14</v>
      </c>
      <c r="U39" s="704">
        <f t="shared" si="13"/>
        <v>100</v>
      </c>
      <c r="V39" s="703" t="s">
        <v>14</v>
      </c>
      <c r="W39" s="704">
        <f t="shared" si="14"/>
        <v>100</v>
      </c>
      <c r="X39" s="1353"/>
      <c r="Y39" s="373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9"/>
      <c r="Q40" s="1350">
        <f t="shared" si="11"/>
        <v>111</v>
      </c>
      <c r="R40" s="703" t="s">
        <v>14</v>
      </c>
      <c r="S40" s="704">
        <f t="shared" si="12"/>
        <v>100</v>
      </c>
      <c r="T40" s="703" t="s">
        <v>14</v>
      </c>
      <c r="U40" s="704">
        <f t="shared" si="13"/>
        <v>100</v>
      </c>
      <c r="V40" s="703" t="s">
        <v>14</v>
      </c>
      <c r="W40" s="704">
        <f t="shared" si="14"/>
        <v>100</v>
      </c>
      <c r="X40" s="1353"/>
      <c r="Y40" s="3739"/>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31" t="str">
        <f>A41</f>
        <v>成交单价（元/平方米）</v>
      </c>
      <c r="Q41" s="3731"/>
      <c r="R41" s="3732">
        <f>E41</f>
        <v>0</v>
      </c>
      <c r="S41" s="3732"/>
      <c r="T41" s="3732">
        <f>G41</f>
        <v>0</v>
      </c>
      <c r="U41" s="3732"/>
      <c r="V41" s="3732">
        <f>I41</f>
        <v>0</v>
      </c>
      <c r="W41" s="3732"/>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华夏银行：</v>
      </c>
    </row>
    <row r="4" spans="1:1" ht="36">
      <c r="A4" s="1478" t="str">
        <f>"受贵公司委托，我公司对"&amp;项目基本情况!S1&amp;"进行了预评估。"</f>
        <v>受贵公司委托，我公司对北京市朝阳区朝阳门外大街18号房地产抵押价值进行了预评估。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估价对象为北京市朝阳区朝阳门外大街18号房地产，为北京丰联广场大厦有限公司所有。根据《国有土地使用证》[]，估价对象（分摊）出让国有建设用地使用权面积为147.42平方米，建筑面积为1286.47平方米。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北京丰联广场大厦有限公司开发建设的办公项目，该项目尚在开发建设中。根据《国有土地使用证》[]，估价对象（分摊）出让国有建设用地使用权面积为147.42平方米，规划建筑面积为1286.47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1767</v>
      </c>
      <c r="B4" s="356"/>
      <c r="C4" s="3714" t="s">
        <v>1768</v>
      </c>
      <c r="D4" s="3715"/>
      <c r="E4" s="3716" t="s">
        <v>1769</v>
      </c>
      <c r="F4" s="3717"/>
      <c r="G4" s="3714" t="s">
        <v>1770</v>
      </c>
      <c r="H4" s="3715"/>
      <c r="I4" s="3714" t="s">
        <v>1771</v>
      </c>
      <c r="J4" s="3715"/>
      <c r="K4" s="559" t="s">
        <v>1772</v>
      </c>
      <c r="L4" s="2709"/>
      <c r="M4" s="2710"/>
      <c r="N4" s="2710"/>
      <c r="O4" s="2710"/>
      <c r="P4" s="3718" t="s">
        <v>1773</v>
      </c>
      <c r="Q4" s="3719"/>
      <c r="R4" s="3701" t="s">
        <v>1769</v>
      </c>
      <c r="S4" s="3702"/>
      <c r="T4" s="3701" t="s">
        <v>1770</v>
      </c>
      <c r="U4" s="3702"/>
      <c r="V4" s="3726" t="s">
        <v>1771</v>
      </c>
      <c r="W4" s="3726"/>
      <c r="X4" s="1353"/>
      <c r="Y4" s="3701" t="s">
        <v>1773</v>
      </c>
      <c r="Z4" s="3702"/>
      <c r="AA4" s="3696" t="s">
        <v>1769</v>
      </c>
      <c r="AB4" s="3697" t="s">
        <v>1770</v>
      </c>
      <c r="AC4" s="3696" t="s">
        <v>1771</v>
      </c>
    </row>
    <row r="5" spans="1:29" ht="15">
      <c r="A5" s="358"/>
      <c r="B5" s="359"/>
      <c r="C5" s="3707" t="s">
        <v>1671</v>
      </c>
      <c r="D5" s="3708"/>
      <c r="E5" s="3705" t="s">
        <v>1672</v>
      </c>
      <c r="F5" s="3706"/>
      <c r="G5" s="3707" t="s">
        <v>1673</v>
      </c>
      <c r="H5" s="3708"/>
      <c r="I5" s="3707" t="s">
        <v>1674</v>
      </c>
      <c r="J5" s="3708"/>
      <c r="K5" s="559"/>
      <c r="L5" s="2709"/>
      <c r="M5" s="2710"/>
      <c r="N5" s="2710"/>
      <c r="O5" s="2710"/>
      <c r="P5" s="3720"/>
      <c r="Q5" s="3721"/>
      <c r="R5" s="3703"/>
      <c r="S5" s="3704"/>
      <c r="T5" s="3703"/>
      <c r="U5" s="3704"/>
      <c r="V5" s="3726"/>
      <c r="W5" s="3726"/>
      <c r="X5" s="1353"/>
      <c r="Y5" s="3703"/>
      <c r="Z5" s="3704"/>
      <c r="AA5" s="3697"/>
      <c r="AB5" s="3697"/>
      <c r="AC5" s="3697"/>
    </row>
    <row r="6" spans="1:29" ht="15.75" thickBot="1">
      <c r="A6" s="360"/>
      <c r="B6" s="361"/>
      <c r="C6" s="3709" t="s">
        <v>1675</v>
      </c>
      <c r="D6" s="3710"/>
      <c r="E6" s="3711" t="s">
        <v>1675</v>
      </c>
      <c r="F6" s="3712"/>
      <c r="G6" s="3709" t="s">
        <v>1675</v>
      </c>
      <c r="H6" s="3710"/>
      <c r="I6" s="3709" t="s">
        <v>1675</v>
      </c>
      <c r="J6" s="3710"/>
      <c r="K6" s="559" t="s">
        <v>1676</v>
      </c>
      <c r="L6" s="2709"/>
      <c r="M6" s="2710"/>
      <c r="N6" s="2710"/>
      <c r="O6" s="2710"/>
      <c r="P6" s="3722"/>
      <c r="Q6" s="3723"/>
      <c r="R6" s="3703"/>
      <c r="S6" s="3704"/>
      <c r="T6" s="3724"/>
      <c r="U6" s="3725"/>
      <c r="V6" s="3726"/>
      <c r="W6" s="3726"/>
      <c r="X6" s="1353"/>
      <c r="Y6" s="3724"/>
      <c r="Z6" s="3725"/>
      <c r="AA6" s="3698"/>
      <c r="AB6" s="3698"/>
      <c r="AC6" s="3698"/>
    </row>
    <row r="7" spans="1:29" s="108" customFormat="1" ht="15.75" thickBot="1">
      <c r="A7" s="362" t="s">
        <v>1677</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9" t="s">
        <v>1678</v>
      </c>
      <c r="Q7" s="3727"/>
      <c r="R7" s="699" t="s">
        <v>14</v>
      </c>
      <c r="S7" s="700">
        <f t="shared" ref="S7:S14" si="0">F7</f>
        <v>0</v>
      </c>
      <c r="T7" s="699" t="s">
        <v>14</v>
      </c>
      <c r="U7" s="700">
        <f t="shared" ref="U7:U14" si="1">H7</f>
        <v>0</v>
      </c>
      <c r="V7" s="699" t="s">
        <v>14</v>
      </c>
      <c r="W7" s="700">
        <f t="shared" ref="W7:W14" si="2">J7</f>
        <v>0</v>
      </c>
      <c r="X7" s="701"/>
      <c r="Y7" s="3699" t="s">
        <v>1678</v>
      </c>
      <c r="Z7" s="3700"/>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9" t="s">
        <v>1681</v>
      </c>
      <c r="Q8" s="3700"/>
      <c r="R8" s="699" t="s">
        <v>14</v>
      </c>
      <c r="S8" s="700">
        <f t="shared" si="0"/>
        <v>100</v>
      </c>
      <c r="T8" s="699" t="s">
        <v>14</v>
      </c>
      <c r="U8" s="700">
        <f t="shared" si="1"/>
        <v>100</v>
      </c>
      <c r="V8" s="699" t="s">
        <v>14</v>
      </c>
      <c r="W8" s="700">
        <f t="shared" si="2"/>
        <v>100</v>
      </c>
      <c r="X8" s="701"/>
      <c r="Y8" s="3699" t="s">
        <v>1681</v>
      </c>
      <c r="Z8" s="3700"/>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1" t="s">
        <v>1684</v>
      </c>
      <c r="Q9" s="1341" t="str">
        <f t="shared" ref="Q9:Q14" si="6">B9</f>
        <v>用途</v>
      </c>
      <c r="R9" s="699" t="s">
        <v>14</v>
      </c>
      <c r="S9" s="700">
        <f t="shared" si="0"/>
        <v>100</v>
      </c>
      <c r="T9" s="699" t="s">
        <v>14</v>
      </c>
      <c r="U9" s="700">
        <f t="shared" si="1"/>
        <v>100</v>
      </c>
      <c r="V9" s="699" t="s">
        <v>14</v>
      </c>
      <c r="W9" s="700">
        <f t="shared" si="2"/>
        <v>100</v>
      </c>
      <c r="X9" s="701"/>
      <c r="Y9" s="3646" t="s">
        <v>1685</v>
      </c>
      <c r="Z9" s="52" t="str">
        <f t="shared" ref="Z9:Z14" si="7">Q9</f>
        <v>用途</v>
      </c>
      <c r="AA9" s="702">
        <f t="shared" si="3"/>
        <v>1</v>
      </c>
      <c r="AB9" s="702">
        <f t="shared" si="4"/>
        <v>1</v>
      </c>
      <c r="AC9" s="702">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3"/>
      <c r="M10" s="2714"/>
      <c r="N10" s="2714"/>
      <c r="O10" s="2714"/>
      <c r="P10" s="3731"/>
      <c r="Q10" s="1341" t="str">
        <f t="shared" si="6"/>
        <v>土地使用年限（年）</v>
      </c>
      <c r="R10" s="699" t="s">
        <v>14</v>
      </c>
      <c r="S10" s="700">
        <f t="shared" si="0"/>
        <v>100</v>
      </c>
      <c r="T10" s="699" t="s">
        <v>14</v>
      </c>
      <c r="U10" s="700">
        <f t="shared" si="1"/>
        <v>100</v>
      </c>
      <c r="V10" s="699" t="s">
        <v>14</v>
      </c>
      <c r="W10" s="700">
        <f t="shared" si="2"/>
        <v>100</v>
      </c>
      <c r="X10" s="701"/>
      <c r="Y10" s="36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1"/>
      <c r="Q11" s="1341">
        <f t="shared" si="6"/>
        <v>111</v>
      </c>
      <c r="R11" s="699" t="s">
        <v>14</v>
      </c>
      <c r="S11" s="700">
        <f t="shared" si="0"/>
        <v>100</v>
      </c>
      <c r="T11" s="699" t="s">
        <v>14</v>
      </c>
      <c r="U11" s="700">
        <f t="shared" si="1"/>
        <v>100</v>
      </c>
      <c r="V11" s="699" t="s">
        <v>14</v>
      </c>
      <c r="W11" s="700">
        <f t="shared" si="2"/>
        <v>100</v>
      </c>
      <c r="X11" s="701"/>
      <c r="Y11" s="36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1"/>
      <c r="Q12" s="1341">
        <f t="shared" si="6"/>
        <v>111</v>
      </c>
      <c r="R12" s="699" t="s">
        <v>14</v>
      </c>
      <c r="S12" s="700">
        <f t="shared" si="0"/>
        <v>100</v>
      </c>
      <c r="T12" s="699" t="s">
        <v>14</v>
      </c>
      <c r="U12" s="700">
        <f t="shared" si="1"/>
        <v>100</v>
      </c>
      <c r="V12" s="699" t="s">
        <v>14</v>
      </c>
      <c r="W12" s="700">
        <f t="shared" si="2"/>
        <v>100</v>
      </c>
      <c r="X12" s="701"/>
      <c r="Y12" s="36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1"/>
      <c r="Q13" s="1341">
        <f t="shared" si="6"/>
        <v>111</v>
      </c>
      <c r="R13" s="699" t="s">
        <v>14</v>
      </c>
      <c r="S13" s="700">
        <f t="shared" si="0"/>
        <v>100</v>
      </c>
      <c r="T13" s="699" t="s">
        <v>14</v>
      </c>
      <c r="U13" s="700">
        <f t="shared" si="1"/>
        <v>100</v>
      </c>
      <c r="V13" s="699" t="s">
        <v>14</v>
      </c>
      <c r="W13" s="700">
        <f t="shared" si="2"/>
        <v>100</v>
      </c>
      <c r="X13" s="701"/>
      <c r="Y13" s="3646"/>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3" t="s">
        <v>1689</v>
      </c>
      <c r="Q14" s="1350" t="str">
        <f t="shared" si="6"/>
        <v>交通便捷度</v>
      </c>
      <c r="R14" s="703" t="s">
        <v>14</v>
      </c>
      <c r="S14" s="704">
        <f t="shared" si="0"/>
        <v>100</v>
      </c>
      <c r="T14" s="703" t="s">
        <v>14</v>
      </c>
      <c r="U14" s="704">
        <f t="shared" si="1"/>
        <v>100</v>
      </c>
      <c r="V14" s="703" t="s">
        <v>14</v>
      </c>
      <c r="W14" s="704">
        <f t="shared" si="2"/>
        <v>100</v>
      </c>
      <c r="X14" s="1353"/>
      <c r="Y14" s="3733"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34"/>
      <c r="Q15" s="1350"/>
      <c r="R15" s="703"/>
      <c r="S15" s="704"/>
      <c r="T15" s="703"/>
      <c r="U15" s="704"/>
      <c r="V15" s="703"/>
      <c r="W15" s="704"/>
      <c r="X15" s="1353"/>
      <c r="Y15" s="3734"/>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34"/>
      <c r="Q17" s="1350"/>
      <c r="R17" s="703"/>
      <c r="S17" s="704"/>
      <c r="T17" s="703"/>
      <c r="U17" s="704"/>
      <c r="V17" s="703"/>
      <c r="W17" s="704"/>
      <c r="X17" s="1353"/>
      <c r="Y17" s="3734"/>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34"/>
      <c r="Q19" s="1350"/>
      <c r="R19" s="703"/>
      <c r="S19" s="704"/>
      <c r="T19" s="703"/>
      <c r="U19" s="704"/>
      <c r="V19" s="703"/>
      <c r="W19" s="704"/>
      <c r="X19" s="1353"/>
      <c r="Y19" s="3734"/>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34"/>
      <c r="Q21" s="1350"/>
      <c r="R21" s="703"/>
      <c r="S21" s="704"/>
      <c r="T21" s="703"/>
      <c r="U21" s="704"/>
      <c r="V21" s="703"/>
      <c r="W21" s="704"/>
      <c r="X21" s="1353"/>
      <c r="Y21" s="3734"/>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34"/>
      <c r="Q24" s="1350">
        <f t="shared" ref="Q24:Q36"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8"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8"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38"/>
      <c r="Q27" s="705" t="str">
        <f t="shared" si="11"/>
        <v>项目停车位配比</v>
      </c>
      <c r="R27" s="706" t="s">
        <v>14</v>
      </c>
      <c r="S27" s="707">
        <f t="shared" si="12"/>
        <v>100</v>
      </c>
      <c r="T27" s="706" t="s">
        <v>14</v>
      </c>
      <c r="U27" s="707">
        <f t="shared" si="13"/>
        <v>100</v>
      </c>
      <c r="V27" s="706" t="s">
        <v>14</v>
      </c>
      <c r="W27" s="707">
        <f t="shared" si="14"/>
        <v>100</v>
      </c>
      <c r="X27" s="708"/>
      <c r="Y27" s="3738"/>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38"/>
      <c r="Q28" s="1350" t="str">
        <f t="shared" si="11"/>
        <v>公共部分装修</v>
      </c>
      <c r="R28" s="703" t="s">
        <v>14</v>
      </c>
      <c r="S28" s="704">
        <f t="shared" si="12"/>
        <v>100</v>
      </c>
      <c r="T28" s="703" t="s">
        <v>14</v>
      </c>
      <c r="U28" s="704">
        <f t="shared" si="13"/>
        <v>100</v>
      </c>
      <c r="V28" s="703" t="s">
        <v>14</v>
      </c>
      <c r="W28" s="704">
        <f t="shared" si="14"/>
        <v>100</v>
      </c>
      <c r="X28" s="1353"/>
      <c r="Y28" s="3738"/>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38"/>
      <c r="Q29" s="1350" t="str">
        <f t="shared" si="11"/>
        <v>成新率</v>
      </c>
      <c r="R29" s="703" t="s">
        <v>14</v>
      </c>
      <c r="S29" s="704" t="e">
        <f t="shared" si="12"/>
        <v>#N/A</v>
      </c>
      <c r="T29" s="703" t="s">
        <v>14</v>
      </c>
      <c r="U29" s="704" t="e">
        <f t="shared" si="13"/>
        <v>#N/A</v>
      </c>
      <c r="V29" s="703" t="s">
        <v>14</v>
      </c>
      <c r="W29" s="704" t="e">
        <f t="shared" si="14"/>
        <v>#N/A</v>
      </c>
      <c r="X29" s="1353"/>
      <c r="Y29" s="3738"/>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38"/>
      <c r="Q30" s="1350" t="str">
        <f t="shared" si="11"/>
        <v>物业等级</v>
      </c>
      <c r="R30" s="703" t="s">
        <v>14</v>
      </c>
      <c r="S30" s="704">
        <f t="shared" si="12"/>
        <v>100</v>
      </c>
      <c r="T30" s="703" t="s">
        <v>14</v>
      </c>
      <c r="U30" s="704">
        <f t="shared" si="13"/>
        <v>100</v>
      </c>
      <c r="V30" s="703" t="s">
        <v>14</v>
      </c>
      <c r="W30" s="704">
        <f t="shared" si="14"/>
        <v>100</v>
      </c>
      <c r="X30" s="1353"/>
      <c r="Y30" s="3738"/>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38"/>
      <c r="Q31" s="1341" t="str">
        <f t="shared" si="11"/>
        <v>停车位面积</v>
      </c>
      <c r="R31" s="699" t="s">
        <v>14</v>
      </c>
      <c r="S31" s="700" t="e">
        <f t="shared" si="12"/>
        <v>#N/A</v>
      </c>
      <c r="T31" s="699" t="s">
        <v>14</v>
      </c>
      <c r="U31" s="700" t="e">
        <f t="shared" si="13"/>
        <v>#N/A</v>
      </c>
      <c r="V31" s="699" t="s">
        <v>14</v>
      </c>
      <c r="W31" s="700" t="e">
        <f t="shared" si="14"/>
        <v>#N/A</v>
      </c>
      <c r="X31" s="701"/>
      <c r="Y31" s="3738"/>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38" t="s">
        <v>1694</v>
      </c>
      <c r="Q32" s="1350" t="str">
        <f t="shared" si="11"/>
        <v>车位类型</v>
      </c>
      <c r="R32" s="703" t="s">
        <v>14</v>
      </c>
      <c r="S32" s="704">
        <f t="shared" si="12"/>
        <v>100</v>
      </c>
      <c r="T32" s="703" t="s">
        <v>14</v>
      </c>
      <c r="U32" s="704">
        <f t="shared" si="13"/>
        <v>100</v>
      </c>
      <c r="V32" s="703" t="s">
        <v>14</v>
      </c>
      <c r="W32" s="704">
        <f t="shared" si="14"/>
        <v>100</v>
      </c>
      <c r="X32" s="1353"/>
      <c r="Y32" s="3738"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38"/>
      <c r="Q33" s="1350" t="str">
        <f t="shared" si="11"/>
        <v>是否直接入户</v>
      </c>
      <c r="R33" s="703" t="s">
        <v>14</v>
      </c>
      <c r="S33" s="704">
        <f t="shared" si="12"/>
        <v>100</v>
      </c>
      <c r="T33" s="703" t="s">
        <v>14</v>
      </c>
      <c r="U33" s="704">
        <f t="shared" si="13"/>
        <v>100</v>
      </c>
      <c r="V33" s="703" t="s">
        <v>14</v>
      </c>
      <c r="W33" s="704">
        <f t="shared" si="14"/>
        <v>100</v>
      </c>
      <c r="X33" s="1353"/>
      <c r="Y33" s="373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38"/>
      <c r="Q35" s="705">
        <f t="shared" si="11"/>
        <v>111</v>
      </c>
      <c r="R35" s="706" t="s">
        <v>14</v>
      </c>
      <c r="S35" s="707">
        <f t="shared" si="12"/>
        <v>100</v>
      </c>
      <c r="T35" s="706" t="s">
        <v>14</v>
      </c>
      <c r="U35" s="707">
        <f t="shared" si="13"/>
        <v>100</v>
      </c>
      <c r="V35" s="706" t="s">
        <v>14</v>
      </c>
      <c r="W35" s="707">
        <f t="shared" si="14"/>
        <v>100</v>
      </c>
      <c r="X35" s="708"/>
      <c r="Y35" s="373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38"/>
      <c r="Q36" s="1350">
        <f t="shared" si="11"/>
        <v>111</v>
      </c>
      <c r="R36" s="703" t="s">
        <v>14</v>
      </c>
      <c r="S36" s="704">
        <f t="shared" si="12"/>
        <v>100</v>
      </c>
      <c r="T36" s="703" t="s">
        <v>14</v>
      </c>
      <c r="U36" s="704">
        <f t="shared" si="13"/>
        <v>100</v>
      </c>
      <c r="V36" s="703" t="s">
        <v>14</v>
      </c>
      <c r="W36" s="704">
        <f t="shared" si="14"/>
        <v>100</v>
      </c>
      <c r="X36" s="1353"/>
      <c r="Y36" s="3738"/>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8"/>
      <c r="M37" s="2719"/>
      <c r="N37" s="2710"/>
      <c r="O37" s="2719"/>
      <c r="P37" s="3731" t="str">
        <f>A37</f>
        <v>成交单价</v>
      </c>
      <c r="Q37" s="3731"/>
      <c r="R37" s="3732">
        <f>E37</f>
        <v>0</v>
      </c>
      <c r="S37" s="3732"/>
      <c r="T37" s="3732">
        <f>G37</f>
        <v>0</v>
      </c>
      <c r="U37" s="3732"/>
      <c r="V37" s="3732">
        <f>I37</f>
        <v>0</v>
      </c>
      <c r="W37" s="3732"/>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8"/>
      <c r="M38" s="2719"/>
      <c r="N38" s="2719"/>
      <c r="O38" s="2719"/>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8"/>
      <c r="M39" s="2719"/>
      <c r="N39" s="2719"/>
      <c r="O39" s="2719"/>
      <c r="P39" s="3728" t="str">
        <f>A39</f>
        <v>估价对象XX用房的比较价值（楼面单价，元/平方米）</v>
      </c>
      <c r="Q39" s="3729"/>
      <c r="R39" s="3759" t="e">
        <f>IF(F1="售价",ROUND(IF(D38="简单平均",AVERAGE(R38:W38),R38*F38+T38*H38+V38*J38),0),ROUND(IF(D38="简单平均",AVERAGE(R38:V38),R38*F38+T38*H38+V38*J38),1))</f>
        <v>#DIV/0!</v>
      </c>
      <c r="S39" s="3759"/>
      <c r="T39" s="3759"/>
      <c r="U39" s="3759"/>
      <c r="V39" s="3759"/>
      <c r="W39" s="3759"/>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1848</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1767</v>
      </c>
      <c r="B4" s="356"/>
      <c r="C4" s="3714" t="s">
        <v>1768</v>
      </c>
      <c r="D4" s="3715"/>
      <c r="E4" s="3716" t="s">
        <v>1769</v>
      </c>
      <c r="F4" s="3717"/>
      <c r="G4" s="3714" t="s">
        <v>1770</v>
      </c>
      <c r="H4" s="3715"/>
      <c r="I4" s="3714" t="s">
        <v>1771</v>
      </c>
      <c r="J4" s="3715"/>
      <c r="K4" s="559" t="s">
        <v>1772</v>
      </c>
      <c r="L4" s="2709"/>
      <c r="M4" s="2710"/>
      <c r="N4" s="2710"/>
      <c r="O4" s="2710"/>
      <c r="P4" s="3718" t="s">
        <v>1773</v>
      </c>
      <c r="Q4" s="3719"/>
      <c r="R4" s="3701" t="s">
        <v>1769</v>
      </c>
      <c r="S4" s="3702"/>
      <c r="T4" s="3701" t="s">
        <v>1770</v>
      </c>
      <c r="U4" s="3702"/>
      <c r="V4" s="3726" t="s">
        <v>1771</v>
      </c>
      <c r="W4" s="3726"/>
      <c r="X4" s="1353"/>
      <c r="Y4" s="3701" t="s">
        <v>1773</v>
      </c>
      <c r="Z4" s="3702"/>
      <c r="AA4" s="3696" t="s">
        <v>1769</v>
      </c>
      <c r="AB4" s="3697" t="s">
        <v>1770</v>
      </c>
      <c r="AC4" s="3696" t="s">
        <v>1771</v>
      </c>
    </row>
    <row r="5" spans="1:29" ht="15">
      <c r="A5" s="358"/>
      <c r="B5" s="359"/>
      <c r="C5" s="3707" t="s">
        <v>1671</v>
      </c>
      <c r="D5" s="3708"/>
      <c r="E5" s="3705" t="s">
        <v>1672</v>
      </c>
      <c r="F5" s="3706"/>
      <c r="G5" s="3707" t="s">
        <v>1673</v>
      </c>
      <c r="H5" s="3708"/>
      <c r="I5" s="3707" t="s">
        <v>1674</v>
      </c>
      <c r="J5" s="3708"/>
      <c r="K5" s="559"/>
      <c r="L5" s="2709"/>
      <c r="M5" s="2710"/>
      <c r="N5" s="2710"/>
      <c r="O5" s="2710"/>
      <c r="P5" s="3720"/>
      <c r="Q5" s="3721"/>
      <c r="R5" s="3703"/>
      <c r="S5" s="3704"/>
      <c r="T5" s="3703"/>
      <c r="U5" s="3704"/>
      <c r="V5" s="3726"/>
      <c r="W5" s="3726"/>
      <c r="X5" s="1353"/>
      <c r="Y5" s="3703"/>
      <c r="Z5" s="3704"/>
      <c r="AA5" s="3697"/>
      <c r="AB5" s="3697"/>
      <c r="AC5" s="3697"/>
    </row>
    <row r="6" spans="1:29" ht="15.75" thickBot="1">
      <c r="A6" s="360"/>
      <c r="B6" s="361"/>
      <c r="C6" s="3709" t="s">
        <v>1675</v>
      </c>
      <c r="D6" s="3710"/>
      <c r="E6" s="3711" t="s">
        <v>1675</v>
      </c>
      <c r="F6" s="3712"/>
      <c r="G6" s="3709" t="s">
        <v>1675</v>
      </c>
      <c r="H6" s="3710"/>
      <c r="I6" s="3709" t="s">
        <v>1675</v>
      </c>
      <c r="J6" s="3710"/>
      <c r="K6" s="559" t="s">
        <v>1676</v>
      </c>
      <c r="L6" s="2709"/>
      <c r="M6" s="2710"/>
      <c r="N6" s="2710"/>
      <c r="O6" s="2710"/>
      <c r="P6" s="3722"/>
      <c r="Q6" s="3723"/>
      <c r="R6" s="3703"/>
      <c r="S6" s="3704"/>
      <c r="T6" s="3724"/>
      <c r="U6" s="3725"/>
      <c r="V6" s="3726"/>
      <c r="W6" s="3726"/>
      <c r="X6" s="1353"/>
      <c r="Y6" s="3724"/>
      <c r="Z6" s="3725"/>
      <c r="AA6" s="3698"/>
      <c r="AB6" s="3698"/>
      <c r="AC6" s="3698"/>
    </row>
    <row r="7" spans="1:29" s="108" customFormat="1" ht="15.75" thickBot="1">
      <c r="A7" s="362" t="s">
        <v>1677</v>
      </c>
      <c r="B7" s="363"/>
      <c r="C7" s="364">
        <f>'数据-取费表'!B2</f>
        <v>44965</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699" t="s">
        <v>1678</v>
      </c>
      <c r="Q7" s="3727"/>
      <c r="R7" s="699" t="s">
        <v>14</v>
      </c>
      <c r="S7" s="700">
        <f t="shared" ref="S7:S14" si="0">F7</f>
        <v>0</v>
      </c>
      <c r="T7" s="699" t="s">
        <v>14</v>
      </c>
      <c r="U7" s="700">
        <f t="shared" ref="U7:U14" si="1">H7</f>
        <v>0</v>
      </c>
      <c r="V7" s="699" t="s">
        <v>14</v>
      </c>
      <c r="W7" s="700">
        <f t="shared" ref="W7:W14" si="2">J7</f>
        <v>0</v>
      </c>
      <c r="X7" s="701"/>
      <c r="Y7" s="3699" t="s">
        <v>1678</v>
      </c>
      <c r="Z7" s="3700"/>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9" t="s">
        <v>1681</v>
      </c>
      <c r="Q8" s="3700"/>
      <c r="R8" s="699" t="s">
        <v>14</v>
      </c>
      <c r="S8" s="700">
        <f t="shared" si="0"/>
        <v>100</v>
      </c>
      <c r="T8" s="699" t="s">
        <v>14</v>
      </c>
      <c r="U8" s="700">
        <f t="shared" si="1"/>
        <v>100</v>
      </c>
      <c r="V8" s="699" t="s">
        <v>14</v>
      </c>
      <c r="W8" s="700">
        <f t="shared" si="2"/>
        <v>100</v>
      </c>
      <c r="X8" s="701"/>
      <c r="Y8" s="3699" t="s">
        <v>1681</v>
      </c>
      <c r="Z8" s="3700"/>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1" t="s">
        <v>1684</v>
      </c>
      <c r="Q9" s="1341" t="str">
        <f t="shared" ref="Q9:Q14" si="6">B9</f>
        <v>用途</v>
      </c>
      <c r="R9" s="699" t="s">
        <v>14</v>
      </c>
      <c r="S9" s="700">
        <f t="shared" si="0"/>
        <v>100</v>
      </c>
      <c r="T9" s="699" t="s">
        <v>14</v>
      </c>
      <c r="U9" s="700">
        <f t="shared" si="1"/>
        <v>100</v>
      </c>
      <c r="V9" s="699" t="s">
        <v>14</v>
      </c>
      <c r="W9" s="700">
        <f t="shared" si="2"/>
        <v>100</v>
      </c>
      <c r="X9" s="701"/>
      <c r="Y9" s="3646" t="s">
        <v>1685</v>
      </c>
      <c r="Z9" s="52" t="str">
        <f t="shared" ref="Z9:Z14" si="7">Q9</f>
        <v>用途</v>
      </c>
      <c r="AA9" s="702">
        <f t="shared" si="3"/>
        <v>1</v>
      </c>
      <c r="AB9" s="702">
        <f t="shared" si="4"/>
        <v>1</v>
      </c>
      <c r="AC9" s="702">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3"/>
      <c r="M10" s="2714"/>
      <c r="N10" s="2714"/>
      <c r="O10" s="2767"/>
      <c r="P10" s="3731"/>
      <c r="Q10" s="1341" t="str">
        <f t="shared" si="6"/>
        <v>土地使用年限（年）</v>
      </c>
      <c r="R10" s="699" t="s">
        <v>14</v>
      </c>
      <c r="S10" s="700">
        <f t="shared" si="0"/>
        <v>100</v>
      </c>
      <c r="T10" s="699" t="s">
        <v>14</v>
      </c>
      <c r="U10" s="700">
        <f t="shared" si="1"/>
        <v>100</v>
      </c>
      <c r="V10" s="699" t="s">
        <v>14</v>
      </c>
      <c r="W10" s="700">
        <f t="shared" si="2"/>
        <v>100</v>
      </c>
      <c r="X10" s="701"/>
      <c r="Y10" s="36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1"/>
      <c r="Q11" s="1341">
        <f t="shared" si="6"/>
        <v>111</v>
      </c>
      <c r="R11" s="699" t="s">
        <v>14</v>
      </c>
      <c r="S11" s="700">
        <f t="shared" si="0"/>
        <v>100</v>
      </c>
      <c r="T11" s="699" t="s">
        <v>14</v>
      </c>
      <c r="U11" s="700">
        <f t="shared" si="1"/>
        <v>100</v>
      </c>
      <c r="V11" s="699" t="s">
        <v>14</v>
      </c>
      <c r="W11" s="700">
        <f t="shared" si="2"/>
        <v>100</v>
      </c>
      <c r="X11" s="701"/>
      <c r="Y11" s="36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1"/>
      <c r="Q12" s="1341">
        <f t="shared" si="6"/>
        <v>111</v>
      </c>
      <c r="R12" s="699" t="s">
        <v>14</v>
      </c>
      <c r="S12" s="700">
        <f t="shared" si="0"/>
        <v>100</v>
      </c>
      <c r="T12" s="699" t="s">
        <v>14</v>
      </c>
      <c r="U12" s="700">
        <f t="shared" si="1"/>
        <v>100</v>
      </c>
      <c r="V12" s="699" t="s">
        <v>14</v>
      </c>
      <c r="W12" s="700">
        <f t="shared" si="2"/>
        <v>100</v>
      </c>
      <c r="X12" s="701"/>
      <c r="Y12" s="36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31"/>
      <c r="Q13" s="1341">
        <f t="shared" si="6"/>
        <v>111</v>
      </c>
      <c r="R13" s="699" t="s">
        <v>14</v>
      </c>
      <c r="S13" s="700">
        <f t="shared" si="0"/>
        <v>100</v>
      </c>
      <c r="T13" s="699" t="s">
        <v>14</v>
      </c>
      <c r="U13" s="700">
        <f t="shared" si="1"/>
        <v>100</v>
      </c>
      <c r="V13" s="699" t="s">
        <v>14</v>
      </c>
      <c r="W13" s="700">
        <f t="shared" si="2"/>
        <v>100</v>
      </c>
      <c r="X13" s="701"/>
      <c r="Y13" s="3646"/>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3" t="s">
        <v>1689</v>
      </c>
      <c r="Q14" s="1350" t="str">
        <f t="shared" si="6"/>
        <v>交通便捷度</v>
      </c>
      <c r="R14" s="703" t="s">
        <v>14</v>
      </c>
      <c r="S14" s="704">
        <f t="shared" si="0"/>
        <v>100</v>
      </c>
      <c r="T14" s="703" t="s">
        <v>14</v>
      </c>
      <c r="U14" s="704">
        <f t="shared" si="1"/>
        <v>100</v>
      </c>
      <c r="V14" s="703" t="s">
        <v>14</v>
      </c>
      <c r="W14" s="704">
        <f t="shared" si="2"/>
        <v>100</v>
      </c>
      <c r="X14" s="1353"/>
      <c r="Y14" s="3733"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34"/>
      <c r="Q15" s="1350"/>
      <c r="R15" s="703"/>
      <c r="S15" s="704"/>
      <c r="T15" s="703"/>
      <c r="U15" s="704"/>
      <c r="V15" s="703"/>
      <c r="W15" s="704"/>
      <c r="X15" s="1353"/>
      <c r="Y15" s="3734"/>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34"/>
      <c r="Q16" s="1350" t="str">
        <f>B16</f>
        <v>公共配套设施</v>
      </c>
      <c r="R16" s="703" t="s">
        <v>14</v>
      </c>
      <c r="S16" s="704">
        <f>F16</f>
        <v>100</v>
      </c>
      <c r="T16" s="703" t="s">
        <v>14</v>
      </c>
      <c r="U16" s="704">
        <f>H16</f>
        <v>100</v>
      </c>
      <c r="V16" s="703" t="s">
        <v>14</v>
      </c>
      <c r="W16" s="704">
        <f>J16</f>
        <v>100</v>
      </c>
      <c r="X16" s="1353"/>
      <c r="Y16" s="373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34"/>
      <c r="Q17" s="1350"/>
      <c r="R17" s="703"/>
      <c r="S17" s="704"/>
      <c r="T17" s="703"/>
      <c r="U17" s="704"/>
      <c r="V17" s="703"/>
      <c r="W17" s="704"/>
      <c r="X17" s="1353"/>
      <c r="Y17" s="3734"/>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34"/>
      <c r="Q18" s="1350" t="str">
        <f>B18</f>
        <v>基础设施水平</v>
      </c>
      <c r="R18" s="703" t="s">
        <v>14</v>
      </c>
      <c r="S18" s="704">
        <f>F18</f>
        <v>100</v>
      </c>
      <c r="T18" s="703" t="s">
        <v>14</v>
      </c>
      <c r="U18" s="704">
        <f>H18</f>
        <v>100</v>
      </c>
      <c r="V18" s="703" t="s">
        <v>14</v>
      </c>
      <c r="W18" s="704">
        <f>J18</f>
        <v>100</v>
      </c>
      <c r="X18" s="1353"/>
      <c r="Y18" s="373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34"/>
      <c r="Q19" s="1350"/>
      <c r="R19" s="703"/>
      <c r="S19" s="704"/>
      <c r="T19" s="703"/>
      <c r="U19" s="704"/>
      <c r="V19" s="703"/>
      <c r="W19" s="704"/>
      <c r="X19" s="1353"/>
      <c r="Y19" s="3734"/>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34"/>
      <c r="Q20" s="1350" t="str">
        <f>B20</f>
        <v>自然及人文环境</v>
      </c>
      <c r="R20" s="703" t="s">
        <v>14</v>
      </c>
      <c r="S20" s="704">
        <f>F20</f>
        <v>100</v>
      </c>
      <c r="T20" s="703" t="s">
        <v>14</v>
      </c>
      <c r="U20" s="704">
        <f>H20</f>
        <v>100</v>
      </c>
      <c r="V20" s="703" t="s">
        <v>14</v>
      </c>
      <c r="W20" s="704">
        <f>J20</f>
        <v>100</v>
      </c>
      <c r="X20" s="1353"/>
      <c r="Y20" s="373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34"/>
      <c r="Q21" s="1350"/>
      <c r="R21" s="703"/>
      <c r="S21" s="704"/>
      <c r="T21" s="703"/>
      <c r="U21" s="704"/>
      <c r="V21" s="703"/>
      <c r="W21" s="704"/>
      <c r="X21" s="1353"/>
      <c r="Y21" s="3734"/>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34"/>
      <c r="Q22" s="1350" t="str">
        <f>B22</f>
        <v>楼层</v>
      </c>
      <c r="R22" s="703" t="s">
        <v>14</v>
      </c>
      <c r="S22" s="704">
        <f>F22</f>
        <v>100</v>
      </c>
      <c r="T22" s="703" t="s">
        <v>14</v>
      </c>
      <c r="U22" s="704">
        <f>H22</f>
        <v>100</v>
      </c>
      <c r="V22" s="703" t="s">
        <v>14</v>
      </c>
      <c r="W22" s="704">
        <f>J22</f>
        <v>100</v>
      </c>
      <c r="X22" s="1353"/>
      <c r="Y22" s="373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34"/>
      <c r="Q23" s="1350">
        <f>B23</f>
        <v>111</v>
      </c>
      <c r="R23" s="703" t="s">
        <v>14</v>
      </c>
      <c r="S23" s="704">
        <f>F23</f>
        <v>100</v>
      </c>
      <c r="T23" s="703" t="s">
        <v>14</v>
      </c>
      <c r="U23" s="704">
        <f>H23</f>
        <v>100</v>
      </c>
      <c r="V23" s="703" t="s">
        <v>14</v>
      </c>
      <c r="W23" s="704">
        <f>J23</f>
        <v>100</v>
      </c>
      <c r="X23" s="1353"/>
      <c r="Y23" s="373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34"/>
      <c r="Q24" s="1350">
        <f t="shared" ref="Q24:Q34" si="11">B24</f>
        <v>111</v>
      </c>
      <c r="R24" s="703" t="s">
        <v>14</v>
      </c>
      <c r="S24" s="704">
        <f>F24</f>
        <v>100</v>
      </c>
      <c r="T24" s="703" t="s">
        <v>14</v>
      </c>
      <c r="U24" s="704">
        <f>H24</f>
        <v>100</v>
      </c>
      <c r="V24" s="703" t="s">
        <v>14</v>
      </c>
      <c r="W24" s="704">
        <f>J24</f>
        <v>100</v>
      </c>
      <c r="X24" s="1353"/>
      <c r="Y24" s="373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34"/>
      <c r="Q25" s="1341">
        <f t="shared" si="11"/>
        <v>111</v>
      </c>
      <c r="R25" s="699" t="s">
        <v>14</v>
      </c>
      <c r="S25" s="700">
        <f>F25</f>
        <v>100</v>
      </c>
      <c r="T25" s="699" t="s">
        <v>14</v>
      </c>
      <c r="U25" s="700">
        <f>H25</f>
        <v>100</v>
      </c>
      <c r="V25" s="699" t="s">
        <v>14</v>
      </c>
      <c r="W25" s="700">
        <f>J25</f>
        <v>100</v>
      </c>
      <c r="X25" s="701"/>
      <c r="Y25" s="3734"/>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758"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8"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38"/>
      <c r="Q27" s="705" t="str">
        <f t="shared" si="11"/>
        <v>成新率</v>
      </c>
      <c r="R27" s="706" t="s">
        <v>14</v>
      </c>
      <c r="S27" s="707" t="e">
        <f t="shared" si="12"/>
        <v>#N/A</v>
      </c>
      <c r="T27" s="706" t="s">
        <v>14</v>
      </c>
      <c r="U27" s="707" t="e">
        <f t="shared" si="13"/>
        <v>#N/A</v>
      </c>
      <c r="V27" s="706" t="s">
        <v>14</v>
      </c>
      <c r="W27" s="707" t="e">
        <f t="shared" si="14"/>
        <v>#N/A</v>
      </c>
      <c r="X27" s="708"/>
      <c r="Y27" s="3738"/>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38"/>
      <c r="Q28" s="1350" t="str">
        <f t="shared" si="11"/>
        <v>物业等级</v>
      </c>
      <c r="R28" s="703" t="s">
        <v>14</v>
      </c>
      <c r="S28" s="704">
        <f t="shared" si="12"/>
        <v>100</v>
      </c>
      <c r="T28" s="703" t="s">
        <v>14</v>
      </c>
      <c r="U28" s="704">
        <f t="shared" si="13"/>
        <v>100</v>
      </c>
      <c r="V28" s="703" t="s">
        <v>14</v>
      </c>
      <c r="W28" s="704">
        <f t="shared" si="14"/>
        <v>100</v>
      </c>
      <c r="X28" s="1353"/>
      <c r="Y28" s="3738"/>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38"/>
      <c r="Q29" s="1350" t="str">
        <f t="shared" si="11"/>
        <v>有无电梯</v>
      </c>
      <c r="R29" s="703" t="s">
        <v>14</v>
      </c>
      <c r="S29" s="704">
        <f t="shared" si="12"/>
        <v>100</v>
      </c>
      <c r="T29" s="703" t="s">
        <v>14</v>
      </c>
      <c r="U29" s="704">
        <f t="shared" si="13"/>
        <v>100</v>
      </c>
      <c r="V29" s="703" t="s">
        <v>14</v>
      </c>
      <c r="W29" s="704">
        <f t="shared" si="14"/>
        <v>100</v>
      </c>
      <c r="X29" s="1353"/>
      <c r="Y29" s="3738"/>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38"/>
      <c r="Q30" s="1350" t="str">
        <f t="shared" si="11"/>
        <v>建筑面积</v>
      </c>
      <c r="R30" s="703" t="s">
        <v>14</v>
      </c>
      <c r="S30" s="704" t="e">
        <f t="shared" si="12"/>
        <v>#N/A</v>
      </c>
      <c r="T30" s="703" t="s">
        <v>14</v>
      </c>
      <c r="U30" s="704" t="e">
        <f t="shared" si="13"/>
        <v>#N/A</v>
      </c>
      <c r="V30" s="703" t="s">
        <v>14</v>
      </c>
      <c r="W30" s="704" t="e">
        <f t="shared" si="14"/>
        <v>#N/A</v>
      </c>
      <c r="X30" s="1353"/>
      <c r="Y30" s="3738"/>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38"/>
      <c r="Q31" s="1341" t="str">
        <f t="shared" si="11"/>
        <v>是否封闭</v>
      </c>
      <c r="R31" s="699" t="s">
        <v>14</v>
      </c>
      <c r="S31" s="700">
        <f t="shared" si="12"/>
        <v>100</v>
      </c>
      <c r="T31" s="699" t="s">
        <v>14</v>
      </c>
      <c r="U31" s="700">
        <f t="shared" si="13"/>
        <v>100</v>
      </c>
      <c r="V31" s="699" t="s">
        <v>14</v>
      </c>
      <c r="W31" s="700">
        <f t="shared" si="14"/>
        <v>100</v>
      </c>
      <c r="X31" s="701"/>
      <c r="Y31" s="373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38" t="s">
        <v>1694</v>
      </c>
      <c r="Q32" s="1350">
        <f t="shared" si="11"/>
        <v>111</v>
      </c>
      <c r="R32" s="703" t="s">
        <v>14</v>
      </c>
      <c r="S32" s="704">
        <f t="shared" si="12"/>
        <v>100</v>
      </c>
      <c r="T32" s="703" t="s">
        <v>14</v>
      </c>
      <c r="U32" s="704">
        <f t="shared" si="13"/>
        <v>100</v>
      </c>
      <c r="V32" s="703" t="s">
        <v>14</v>
      </c>
      <c r="W32" s="704">
        <f t="shared" si="14"/>
        <v>100</v>
      </c>
      <c r="X32" s="1353"/>
      <c r="Y32" s="3738"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38"/>
      <c r="Q33" s="1350">
        <f t="shared" si="11"/>
        <v>111</v>
      </c>
      <c r="R33" s="703" t="s">
        <v>14</v>
      </c>
      <c r="S33" s="704">
        <f t="shared" si="12"/>
        <v>100</v>
      </c>
      <c r="T33" s="703" t="s">
        <v>14</v>
      </c>
      <c r="U33" s="704">
        <f t="shared" si="13"/>
        <v>100</v>
      </c>
      <c r="V33" s="703" t="s">
        <v>14</v>
      </c>
      <c r="W33" s="704">
        <f t="shared" si="14"/>
        <v>100</v>
      </c>
      <c r="X33" s="1353"/>
      <c r="Y33" s="373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38"/>
      <c r="Q34" s="1350">
        <f t="shared" si="11"/>
        <v>111</v>
      </c>
      <c r="R34" s="703" t="s">
        <v>14</v>
      </c>
      <c r="S34" s="704">
        <f t="shared" si="12"/>
        <v>100</v>
      </c>
      <c r="T34" s="703" t="s">
        <v>14</v>
      </c>
      <c r="U34" s="704">
        <f t="shared" si="13"/>
        <v>100</v>
      </c>
      <c r="V34" s="703" t="s">
        <v>14</v>
      </c>
      <c r="W34" s="704">
        <f t="shared" si="14"/>
        <v>100</v>
      </c>
      <c r="X34" s="1353"/>
      <c r="Y34" s="3738"/>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8"/>
      <c r="M35" s="2719"/>
      <c r="N35" s="2710"/>
      <c r="O35" s="2719"/>
      <c r="P35" s="3731" t="str">
        <f>A35</f>
        <v>成交单价（元/平方米）</v>
      </c>
      <c r="Q35" s="3731"/>
      <c r="R35" s="3732">
        <f>E35</f>
        <v>0</v>
      </c>
      <c r="S35" s="3732"/>
      <c r="T35" s="3732">
        <f>G35</f>
        <v>0</v>
      </c>
      <c r="U35" s="3732"/>
      <c r="V35" s="3732">
        <f>I35</f>
        <v>0</v>
      </c>
      <c r="W35" s="3732"/>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8"/>
      <c r="M36" s="2719"/>
      <c r="N36" s="2710"/>
      <c r="O36" s="2719"/>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8"/>
      <c r="M37" s="2719"/>
      <c r="N37" s="2719"/>
      <c r="O37" s="2719"/>
      <c r="P37" s="3728" t="str">
        <f>A37</f>
        <v>估价对象XX用房的比较价值（楼面单价，元/平方米）</v>
      </c>
      <c r="Q37" s="3729"/>
      <c r="R37" s="3759" t="e">
        <f>IF(F1="售价",ROUND(IF(D36="简单平均",AVERAGE(R36:W36),R36*F36+T36*H36+V36*J36),0),ROUND(IF(D36="简单平均",AVERAGE(R36:V36),R36*F36+T36*H36+V36*J36),1))</f>
        <v>#DIV/0!</v>
      </c>
      <c r="S37" s="3759"/>
      <c r="T37" s="3759"/>
      <c r="U37" s="3759"/>
      <c r="V37" s="3759"/>
      <c r="W37" s="3759"/>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1796</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1767</v>
      </c>
      <c r="B4" s="356"/>
      <c r="C4" s="3714" t="s">
        <v>1768</v>
      </c>
      <c r="D4" s="3715"/>
      <c r="E4" s="3716" t="s">
        <v>1769</v>
      </c>
      <c r="F4" s="3717"/>
      <c r="G4" s="3714" t="s">
        <v>1770</v>
      </c>
      <c r="H4" s="3715"/>
      <c r="I4" s="3714" t="s">
        <v>1771</v>
      </c>
      <c r="J4" s="3715"/>
      <c r="K4" s="559" t="s">
        <v>1772</v>
      </c>
      <c r="L4" s="2709"/>
      <c r="M4" s="2710"/>
      <c r="N4" s="2710"/>
      <c r="O4" s="2710"/>
      <c r="P4" s="3718" t="s">
        <v>1773</v>
      </c>
      <c r="Q4" s="3719"/>
      <c r="R4" s="3701" t="s">
        <v>1769</v>
      </c>
      <c r="S4" s="3702"/>
      <c r="T4" s="3701" t="s">
        <v>1770</v>
      </c>
      <c r="U4" s="3702"/>
      <c r="V4" s="3726" t="s">
        <v>1771</v>
      </c>
      <c r="W4" s="3726"/>
      <c r="X4" s="1353"/>
      <c r="Y4" s="3701" t="s">
        <v>1773</v>
      </c>
      <c r="Z4" s="3702"/>
      <c r="AA4" s="3696" t="s">
        <v>1769</v>
      </c>
      <c r="AB4" s="3697" t="s">
        <v>1770</v>
      </c>
      <c r="AC4" s="3696" t="s">
        <v>1771</v>
      </c>
    </row>
    <row r="5" spans="1:30" ht="15">
      <c r="A5" s="358"/>
      <c r="B5" s="359"/>
      <c r="C5" s="3707" t="s">
        <v>1671</v>
      </c>
      <c r="D5" s="3708"/>
      <c r="E5" s="3705" t="s">
        <v>1672</v>
      </c>
      <c r="F5" s="3706"/>
      <c r="G5" s="3707" t="s">
        <v>1673</v>
      </c>
      <c r="H5" s="3708"/>
      <c r="I5" s="3707" t="s">
        <v>1674</v>
      </c>
      <c r="J5" s="3708"/>
      <c r="K5" s="559"/>
      <c r="L5" s="2709"/>
      <c r="M5" s="2710"/>
      <c r="N5" s="2710"/>
      <c r="O5" s="2710"/>
      <c r="P5" s="3720"/>
      <c r="Q5" s="3721"/>
      <c r="R5" s="3703"/>
      <c r="S5" s="3704"/>
      <c r="T5" s="3703"/>
      <c r="U5" s="3704"/>
      <c r="V5" s="3726"/>
      <c r="W5" s="3726"/>
      <c r="X5" s="1353"/>
      <c r="Y5" s="3703"/>
      <c r="Z5" s="3704"/>
      <c r="AA5" s="3697"/>
      <c r="AB5" s="3697"/>
      <c r="AC5" s="3697"/>
    </row>
    <row r="6" spans="1:30" ht="15.75" thickBot="1">
      <c r="A6" s="360"/>
      <c r="B6" s="361"/>
      <c r="C6" s="3709" t="s">
        <v>1675</v>
      </c>
      <c r="D6" s="3710"/>
      <c r="E6" s="3711" t="s">
        <v>1675</v>
      </c>
      <c r="F6" s="3712"/>
      <c r="G6" s="3709" t="s">
        <v>1675</v>
      </c>
      <c r="H6" s="3710"/>
      <c r="I6" s="3709" t="s">
        <v>1675</v>
      </c>
      <c r="J6" s="3710"/>
      <c r="K6" s="559" t="s">
        <v>1676</v>
      </c>
      <c r="L6" s="2709"/>
      <c r="M6" s="2710"/>
      <c r="N6" s="2710"/>
      <c r="O6" s="2710"/>
      <c r="P6" s="3722"/>
      <c r="Q6" s="3723"/>
      <c r="R6" s="3703"/>
      <c r="S6" s="3704"/>
      <c r="T6" s="3724"/>
      <c r="U6" s="3725"/>
      <c r="V6" s="3726"/>
      <c r="W6" s="3726"/>
      <c r="X6" s="1353"/>
      <c r="Y6" s="3724"/>
      <c r="Z6" s="3725"/>
      <c r="AA6" s="3698"/>
      <c r="AB6" s="3698"/>
      <c r="AC6" s="3698"/>
    </row>
    <row r="7" spans="1:30" s="108" customFormat="1" ht="15.75" thickBot="1">
      <c r="A7" s="362" t="s">
        <v>1677</v>
      </c>
      <c r="B7" s="363"/>
      <c r="C7" s="364">
        <f>'数据-取费表'!B2</f>
        <v>44965</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699" t="s">
        <v>1678</v>
      </c>
      <c r="Q7" s="3727"/>
      <c r="R7" s="699" t="s">
        <v>14</v>
      </c>
      <c r="S7" s="700">
        <f t="shared" ref="S7:S15" si="0">F7</f>
        <v>0</v>
      </c>
      <c r="T7" s="699" t="s">
        <v>14</v>
      </c>
      <c r="U7" s="700">
        <f t="shared" ref="U7:U15" si="1">H7</f>
        <v>0</v>
      </c>
      <c r="V7" s="699" t="s">
        <v>14</v>
      </c>
      <c r="W7" s="700">
        <f t="shared" ref="W7:W15" si="2">J7</f>
        <v>0</v>
      </c>
      <c r="X7" s="701"/>
      <c r="Y7" s="3699" t="s">
        <v>1678</v>
      </c>
      <c r="Z7" s="3700"/>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9" t="s">
        <v>1681</v>
      </c>
      <c r="Q8" s="3700"/>
      <c r="R8" s="699" t="s">
        <v>14</v>
      </c>
      <c r="S8" s="700">
        <f t="shared" si="0"/>
        <v>0</v>
      </c>
      <c r="T8" s="699" t="s">
        <v>14</v>
      </c>
      <c r="U8" s="700">
        <f t="shared" si="1"/>
        <v>0</v>
      </c>
      <c r="V8" s="699" t="s">
        <v>14</v>
      </c>
      <c r="W8" s="700">
        <f t="shared" si="2"/>
        <v>0</v>
      </c>
      <c r="X8" s="701"/>
      <c r="Y8" s="3699" t="s">
        <v>1681</v>
      </c>
      <c r="Z8" s="3700"/>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731" t="s">
        <v>1684</v>
      </c>
      <c r="Q9" s="1341" t="str">
        <f t="shared" ref="Q9:Q15" si="6">B9</f>
        <v>用途</v>
      </c>
      <c r="R9" s="699" t="s">
        <v>14</v>
      </c>
      <c r="S9" s="700">
        <f t="shared" si="0"/>
        <v>100</v>
      </c>
      <c r="T9" s="699" t="s">
        <v>14</v>
      </c>
      <c r="U9" s="700">
        <f t="shared" si="1"/>
        <v>100</v>
      </c>
      <c r="V9" s="699" t="s">
        <v>14</v>
      </c>
      <c r="W9" s="700">
        <f t="shared" si="2"/>
        <v>100</v>
      </c>
      <c r="X9" s="701"/>
      <c r="Y9" s="3646"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142</v>
      </c>
      <c r="G10" s="414"/>
      <c r="H10" s="127">
        <f>ROUND(100/'数据-取费表'!G16,0)</f>
        <v>142</v>
      </c>
      <c r="I10" s="414"/>
      <c r="J10" s="127">
        <f>ROUND(100/'数据-取费表'!G16,0)</f>
        <v>142</v>
      </c>
      <c r="K10" s="620"/>
      <c r="L10" s="2713"/>
      <c r="M10" s="2714"/>
      <c r="N10" s="2714"/>
      <c r="O10" s="2767"/>
      <c r="P10" s="3731"/>
      <c r="Q10" s="1341" t="str">
        <f t="shared" si="6"/>
        <v>土地使用年限（年）</v>
      </c>
      <c r="R10" s="699" t="s">
        <v>14</v>
      </c>
      <c r="S10" s="700">
        <f t="shared" si="0"/>
        <v>142</v>
      </c>
      <c r="T10" s="699" t="s">
        <v>14</v>
      </c>
      <c r="U10" s="700">
        <f t="shared" si="1"/>
        <v>142</v>
      </c>
      <c r="V10" s="699" t="s">
        <v>14</v>
      </c>
      <c r="W10" s="700">
        <f t="shared" si="2"/>
        <v>142</v>
      </c>
      <c r="X10" s="701"/>
      <c r="Y10" s="3646"/>
      <c r="Z10" s="52" t="str">
        <f t="shared" si="7"/>
        <v>土地使用年限（年）</v>
      </c>
      <c r="AA10" s="702">
        <f t="shared" si="3"/>
        <v>0.70422535211267601</v>
      </c>
      <c r="AB10" s="702">
        <f t="shared" si="4"/>
        <v>0.70422535211267601</v>
      </c>
      <c r="AC10" s="702">
        <f t="shared" si="5"/>
        <v>0.70422535211267601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1"/>
      <c r="Q11" s="1341" t="str">
        <f t="shared" si="6"/>
        <v>容积率</v>
      </c>
      <c r="R11" s="699" t="s">
        <v>14</v>
      </c>
      <c r="S11" s="700" t="e">
        <f t="shared" si="0"/>
        <v>#N/A</v>
      </c>
      <c r="T11" s="699" t="s">
        <v>14</v>
      </c>
      <c r="U11" s="700" t="e">
        <f t="shared" si="1"/>
        <v>#N/A</v>
      </c>
      <c r="V11" s="699" t="s">
        <v>14</v>
      </c>
      <c r="W11" s="700" t="e">
        <f t="shared" si="2"/>
        <v>#N/A</v>
      </c>
      <c r="X11" s="701"/>
      <c r="Y11" s="3646"/>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1"/>
      <c r="Q12" s="1341" t="str">
        <f t="shared" si="6"/>
        <v>配建</v>
      </c>
      <c r="R12" s="699" t="s">
        <v>14</v>
      </c>
      <c r="S12" s="700">
        <f t="shared" si="0"/>
        <v>100</v>
      </c>
      <c r="T12" s="699" t="s">
        <v>14</v>
      </c>
      <c r="U12" s="700">
        <f t="shared" si="1"/>
        <v>100</v>
      </c>
      <c r="V12" s="699" t="s">
        <v>14</v>
      </c>
      <c r="W12" s="700">
        <f t="shared" si="2"/>
        <v>100</v>
      </c>
      <c r="X12" s="701"/>
      <c r="Y12" s="36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1"/>
      <c r="Q13" s="1341">
        <f t="shared" si="6"/>
        <v>111</v>
      </c>
      <c r="R13" s="699" t="s">
        <v>14</v>
      </c>
      <c r="S13" s="700">
        <f t="shared" si="0"/>
        <v>100</v>
      </c>
      <c r="T13" s="699" t="s">
        <v>14</v>
      </c>
      <c r="U13" s="700">
        <f t="shared" si="1"/>
        <v>100</v>
      </c>
      <c r="V13" s="699" t="s">
        <v>14</v>
      </c>
      <c r="W13" s="700">
        <f t="shared" si="2"/>
        <v>100</v>
      </c>
      <c r="X13" s="701"/>
      <c r="Y13" s="36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1"/>
      <c r="Q14" s="1341">
        <f t="shared" si="6"/>
        <v>111</v>
      </c>
      <c r="R14" s="699" t="s">
        <v>14</v>
      </c>
      <c r="S14" s="700">
        <f t="shared" si="0"/>
        <v>100</v>
      </c>
      <c r="T14" s="699" t="s">
        <v>14</v>
      </c>
      <c r="U14" s="700">
        <f t="shared" si="1"/>
        <v>100</v>
      </c>
      <c r="V14" s="699" t="s">
        <v>14</v>
      </c>
      <c r="W14" s="700">
        <f t="shared" si="2"/>
        <v>100</v>
      </c>
      <c r="X14" s="701"/>
      <c r="Y14" s="3646"/>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3" t="s">
        <v>1689</v>
      </c>
      <c r="Q15" s="1350" t="str">
        <f t="shared" si="6"/>
        <v>居住社区成熟度</v>
      </c>
      <c r="R15" s="703" t="s">
        <v>14</v>
      </c>
      <c r="S15" s="704">
        <f t="shared" si="0"/>
        <v>100</v>
      </c>
      <c r="T15" s="703" t="s">
        <v>14</v>
      </c>
      <c r="U15" s="704">
        <f t="shared" si="1"/>
        <v>100</v>
      </c>
      <c r="V15" s="703" t="s">
        <v>14</v>
      </c>
      <c r="W15" s="704">
        <f t="shared" si="2"/>
        <v>100</v>
      </c>
      <c r="X15" s="1353"/>
      <c r="Y15" s="3733"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34"/>
      <c r="Q16" s="1350"/>
      <c r="R16" s="703"/>
      <c r="S16" s="704"/>
      <c r="T16" s="703"/>
      <c r="U16" s="704"/>
      <c r="V16" s="703"/>
      <c r="W16" s="704"/>
      <c r="X16" s="1353"/>
      <c r="Y16" s="3734"/>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34"/>
      <c r="Q17" s="1350" t="str">
        <f>B17</f>
        <v>商业繁华度</v>
      </c>
      <c r="R17" s="703" t="s">
        <v>14</v>
      </c>
      <c r="S17" s="704">
        <f>F17</f>
        <v>100</v>
      </c>
      <c r="T17" s="703" t="s">
        <v>14</v>
      </c>
      <c r="U17" s="704">
        <f>H17</f>
        <v>100</v>
      </c>
      <c r="V17" s="703" t="s">
        <v>14</v>
      </c>
      <c r="W17" s="704">
        <f>J17</f>
        <v>100</v>
      </c>
      <c r="X17" s="1353"/>
      <c r="Y17" s="373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34"/>
      <c r="Q18" s="1350"/>
      <c r="R18" s="703"/>
      <c r="S18" s="704"/>
      <c r="T18" s="703"/>
      <c r="U18" s="704"/>
      <c r="V18" s="703"/>
      <c r="W18" s="704"/>
      <c r="X18" s="1353"/>
      <c r="Y18" s="3734"/>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34"/>
      <c r="Q19" s="1350" t="str">
        <f>B19</f>
        <v>办公集聚程度</v>
      </c>
      <c r="R19" s="703" t="s">
        <v>14</v>
      </c>
      <c r="S19" s="704">
        <f>F19</f>
        <v>100</v>
      </c>
      <c r="T19" s="703" t="s">
        <v>14</v>
      </c>
      <c r="U19" s="704">
        <f>H19</f>
        <v>100</v>
      </c>
      <c r="V19" s="703" t="s">
        <v>14</v>
      </c>
      <c r="W19" s="704">
        <f>J19</f>
        <v>100</v>
      </c>
      <c r="X19" s="1353"/>
      <c r="Y19" s="373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34"/>
      <c r="Q20" s="1350"/>
      <c r="R20" s="703"/>
      <c r="S20" s="704"/>
      <c r="T20" s="703"/>
      <c r="U20" s="704"/>
      <c r="V20" s="703"/>
      <c r="W20" s="704"/>
      <c r="X20" s="1353"/>
      <c r="Y20" s="3734"/>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34"/>
      <c r="Q21" s="1350" t="str">
        <f>B21</f>
        <v>交通便捷度</v>
      </c>
      <c r="R21" s="703" t="s">
        <v>14</v>
      </c>
      <c r="S21" s="704">
        <f>F21</f>
        <v>100</v>
      </c>
      <c r="T21" s="703" t="s">
        <v>14</v>
      </c>
      <c r="U21" s="704">
        <f>H21</f>
        <v>100</v>
      </c>
      <c r="V21" s="703" t="s">
        <v>14</v>
      </c>
      <c r="W21" s="704">
        <f>J21</f>
        <v>100</v>
      </c>
      <c r="X21" s="1353"/>
      <c r="Y21" s="373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34"/>
      <c r="Q22" s="1350"/>
      <c r="R22" s="703"/>
      <c r="S22" s="704"/>
      <c r="T22" s="703"/>
      <c r="U22" s="704"/>
      <c r="V22" s="703"/>
      <c r="W22" s="704"/>
      <c r="X22" s="1353"/>
      <c r="Y22" s="3734"/>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34"/>
      <c r="Q23" s="1350" t="str">
        <f t="shared" ref="Q23:Q37" si="8">B23</f>
        <v>区域土地利用方向</v>
      </c>
      <c r="R23" s="703" t="s">
        <v>14</v>
      </c>
      <c r="S23" s="704">
        <f>F23</f>
        <v>100</v>
      </c>
      <c r="T23" s="703" t="s">
        <v>14</v>
      </c>
      <c r="U23" s="704">
        <f>H23</f>
        <v>100</v>
      </c>
      <c r="V23" s="703" t="s">
        <v>14</v>
      </c>
      <c r="W23" s="704">
        <f>J23</f>
        <v>100</v>
      </c>
      <c r="X23" s="1353"/>
      <c r="Y23" s="373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34"/>
      <c r="Q24" s="1350"/>
      <c r="R24" s="703"/>
      <c r="S24" s="704"/>
      <c r="T24" s="703"/>
      <c r="U24" s="704"/>
      <c r="V24" s="703"/>
      <c r="W24" s="704"/>
      <c r="X24" s="1353"/>
      <c r="Y24" s="3734"/>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34"/>
      <c r="Q25" s="1350" t="str">
        <f t="shared" si="8"/>
        <v>自然及人文环境状况</v>
      </c>
      <c r="R25" s="703" t="s">
        <v>14</v>
      </c>
      <c r="S25" s="704">
        <f>F25</f>
        <v>100</v>
      </c>
      <c r="T25" s="703" t="s">
        <v>14</v>
      </c>
      <c r="U25" s="704">
        <f>H25</f>
        <v>100</v>
      </c>
      <c r="V25" s="703" t="s">
        <v>14</v>
      </c>
      <c r="W25" s="704">
        <f>J25</f>
        <v>100</v>
      </c>
      <c r="X25" s="1353"/>
      <c r="Y25" s="373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34"/>
      <c r="Q26" s="1350"/>
      <c r="R26" s="703"/>
      <c r="S26" s="704"/>
      <c r="T26" s="703"/>
      <c r="U26" s="704"/>
      <c r="V26" s="703"/>
      <c r="W26" s="704"/>
      <c r="X26" s="1353"/>
      <c r="Y26" s="3734"/>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34"/>
      <c r="Q27" s="1341" t="str">
        <f t="shared" si="8"/>
        <v>公共配套设施</v>
      </c>
      <c r="R27" s="699" t="s">
        <v>14</v>
      </c>
      <c r="S27" s="700">
        <f>F27</f>
        <v>100</v>
      </c>
      <c r="T27" s="699" t="s">
        <v>14</v>
      </c>
      <c r="U27" s="700">
        <f>H27</f>
        <v>100</v>
      </c>
      <c r="V27" s="699" t="s">
        <v>14</v>
      </c>
      <c r="W27" s="700">
        <f>J27</f>
        <v>100</v>
      </c>
      <c r="X27" s="701"/>
      <c r="Y27" s="373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1"/>
      <c r="M28" s="2712"/>
      <c r="N28" s="2712"/>
      <c r="O28" s="2766"/>
      <c r="P28" s="3734"/>
      <c r="Q28" s="1341"/>
      <c r="R28" s="699"/>
      <c r="S28" s="700"/>
      <c r="T28" s="699"/>
      <c r="U28" s="700"/>
      <c r="V28" s="699"/>
      <c r="W28" s="700"/>
      <c r="X28" s="701"/>
      <c r="Y28" s="3734"/>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34"/>
      <c r="Q29" s="1341" t="str">
        <f t="shared" ref="Q29" si="9">B29</f>
        <v>基础设施水平</v>
      </c>
      <c r="R29" s="699" t="s">
        <v>14</v>
      </c>
      <c r="S29" s="700">
        <f>F29</f>
        <v>100</v>
      </c>
      <c r="T29" s="699" t="s">
        <v>14</v>
      </c>
      <c r="U29" s="700">
        <f>H29</f>
        <v>100</v>
      </c>
      <c r="V29" s="699" t="s">
        <v>14</v>
      </c>
      <c r="W29" s="700">
        <f>J29</f>
        <v>100</v>
      </c>
      <c r="X29" s="701"/>
      <c r="Y29" s="373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1"/>
      <c r="M30" s="2712"/>
      <c r="N30" s="2712"/>
      <c r="O30" s="2766"/>
      <c r="P30" s="3734"/>
      <c r="Q30" s="1341"/>
      <c r="R30" s="699"/>
      <c r="S30" s="700"/>
      <c r="T30" s="699"/>
      <c r="U30" s="700"/>
      <c r="V30" s="699"/>
      <c r="W30" s="700"/>
      <c r="X30" s="701"/>
      <c r="Y30" s="3734"/>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3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4"/>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34"/>
      <c r="Q32" s="1350" t="str">
        <f t="shared" si="8"/>
        <v>毗邻道路的类型与等级</v>
      </c>
      <c r="R32" s="703" t="s">
        <v>14</v>
      </c>
      <c r="S32" s="704">
        <f t="shared" si="10"/>
        <v>100</v>
      </c>
      <c r="T32" s="703" t="s">
        <v>14</v>
      </c>
      <c r="U32" s="704">
        <f t="shared" si="11"/>
        <v>100</v>
      </c>
      <c r="V32" s="703" t="s">
        <v>14</v>
      </c>
      <c r="W32" s="704">
        <f t="shared" si="12"/>
        <v>100</v>
      </c>
      <c r="X32" s="1353"/>
      <c r="Y32" s="373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34"/>
      <c r="Q33" s="1350"/>
      <c r="R33" s="703"/>
      <c r="S33" s="704"/>
      <c r="T33" s="703"/>
      <c r="U33" s="704"/>
      <c r="V33" s="703"/>
      <c r="W33" s="704"/>
      <c r="X33" s="1353"/>
      <c r="Y33" s="3734"/>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34"/>
      <c r="Q34" s="1350" t="str">
        <f t="shared" si="8"/>
        <v>土地级别</v>
      </c>
      <c r="R34" s="703" t="s">
        <v>14</v>
      </c>
      <c r="S34" s="704">
        <f t="shared" si="10"/>
        <v>100</v>
      </c>
      <c r="T34" s="703" t="s">
        <v>14</v>
      </c>
      <c r="U34" s="704">
        <f t="shared" si="11"/>
        <v>100</v>
      </c>
      <c r="V34" s="703" t="s">
        <v>14</v>
      </c>
      <c r="W34" s="704">
        <f t="shared" si="12"/>
        <v>100</v>
      </c>
      <c r="X34" s="1353"/>
      <c r="Y34" s="373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34"/>
      <c r="Q35" s="1350">
        <f t="shared" si="8"/>
        <v>111</v>
      </c>
      <c r="R35" s="703" t="s">
        <v>14</v>
      </c>
      <c r="S35" s="704">
        <f t="shared" si="10"/>
        <v>100</v>
      </c>
      <c r="T35" s="703" t="s">
        <v>14</v>
      </c>
      <c r="U35" s="704">
        <f t="shared" si="11"/>
        <v>100</v>
      </c>
      <c r="V35" s="703" t="s">
        <v>14</v>
      </c>
      <c r="W35" s="704">
        <f t="shared" si="12"/>
        <v>100</v>
      </c>
      <c r="X35" s="1353"/>
      <c r="Y35" s="373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8" t="s">
        <v>1694</v>
      </c>
      <c r="Q36" s="1350">
        <f t="shared" si="8"/>
        <v>111</v>
      </c>
      <c r="R36" s="703" t="s">
        <v>14</v>
      </c>
      <c r="S36" s="704">
        <f t="shared" si="10"/>
        <v>100</v>
      </c>
      <c r="T36" s="703" t="s">
        <v>14</v>
      </c>
      <c r="U36" s="704">
        <f t="shared" si="11"/>
        <v>100</v>
      </c>
      <c r="V36" s="703" t="s">
        <v>14</v>
      </c>
      <c r="W36" s="704">
        <f t="shared" si="12"/>
        <v>100</v>
      </c>
      <c r="X36" s="1353"/>
      <c r="Y36" s="3738"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38"/>
      <c r="Q37" s="1350">
        <f t="shared" si="8"/>
        <v>111</v>
      </c>
      <c r="R37" s="706" t="s">
        <v>14</v>
      </c>
      <c r="S37" s="707">
        <f t="shared" si="10"/>
        <v>100</v>
      </c>
      <c r="T37" s="706" t="s">
        <v>14</v>
      </c>
      <c r="U37" s="707">
        <f t="shared" si="11"/>
        <v>100</v>
      </c>
      <c r="V37" s="706" t="s">
        <v>14</v>
      </c>
      <c r="W37" s="707">
        <f t="shared" si="12"/>
        <v>100</v>
      </c>
      <c r="X37" s="708"/>
      <c r="Y37" s="3738"/>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38"/>
      <c r="Q38" s="1350" t="str">
        <f>B38</f>
        <v>宗地面积</v>
      </c>
      <c r="R38" s="703" t="s">
        <v>14</v>
      </c>
      <c r="S38" s="704" t="e">
        <f t="shared" si="10"/>
        <v>#N/A</v>
      </c>
      <c r="T38" s="703" t="s">
        <v>14</v>
      </c>
      <c r="U38" s="704" t="e">
        <f t="shared" si="11"/>
        <v>#N/A</v>
      </c>
      <c r="V38" s="703" t="s">
        <v>14</v>
      </c>
      <c r="W38" s="704" t="e">
        <f t="shared" si="12"/>
        <v>#N/A</v>
      </c>
      <c r="X38" s="1353"/>
      <c r="Y38" s="3738"/>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38"/>
      <c r="Q39" s="1350" t="str">
        <f t="shared" ref="Q39:Q45" si="14">B39</f>
        <v>宗地形状</v>
      </c>
      <c r="R39" s="703" t="s">
        <v>14</v>
      </c>
      <c r="S39" s="704">
        <f t="shared" si="10"/>
        <v>100</v>
      </c>
      <c r="T39" s="703" t="s">
        <v>14</v>
      </c>
      <c r="U39" s="704">
        <f t="shared" si="11"/>
        <v>100</v>
      </c>
      <c r="V39" s="703" t="s">
        <v>14</v>
      </c>
      <c r="W39" s="704">
        <f t="shared" si="12"/>
        <v>100</v>
      </c>
      <c r="X39" s="1353"/>
      <c r="Y39" s="3738"/>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38"/>
      <c r="Q40" s="1350" t="str">
        <f t="shared" si="14"/>
        <v>临街宽度及深度</v>
      </c>
      <c r="R40" s="703" t="s">
        <v>14</v>
      </c>
      <c r="S40" s="704">
        <f t="shared" si="10"/>
        <v>100</v>
      </c>
      <c r="T40" s="703" t="s">
        <v>14</v>
      </c>
      <c r="U40" s="704">
        <f t="shared" si="11"/>
        <v>100</v>
      </c>
      <c r="V40" s="703" t="s">
        <v>14</v>
      </c>
      <c r="W40" s="704">
        <f t="shared" si="12"/>
        <v>100</v>
      </c>
      <c r="X40" s="1353"/>
      <c r="Y40" s="3738"/>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738"/>
      <c r="Q41" s="1350" t="str">
        <f t="shared" si="14"/>
        <v>宗地开发程度</v>
      </c>
      <c r="R41" s="699" t="s">
        <v>14</v>
      </c>
      <c r="S41" s="700">
        <f t="shared" si="10"/>
        <v>100</v>
      </c>
      <c r="T41" s="699" t="s">
        <v>14</v>
      </c>
      <c r="U41" s="700">
        <f t="shared" si="11"/>
        <v>100</v>
      </c>
      <c r="V41" s="699" t="s">
        <v>14</v>
      </c>
      <c r="W41" s="700">
        <f t="shared" si="12"/>
        <v>100</v>
      </c>
      <c r="X41" s="701"/>
      <c r="Y41" s="3738"/>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38" t="s">
        <v>1694</v>
      </c>
      <c r="Q42" s="1350" t="str">
        <f t="shared" si="14"/>
        <v>工程地质条件</v>
      </c>
      <c r="R42" s="703" t="s">
        <v>14</v>
      </c>
      <c r="S42" s="704">
        <f t="shared" si="10"/>
        <v>100</v>
      </c>
      <c r="T42" s="703" t="s">
        <v>14</v>
      </c>
      <c r="U42" s="704">
        <f t="shared" si="11"/>
        <v>100</v>
      </c>
      <c r="V42" s="703" t="s">
        <v>14</v>
      </c>
      <c r="W42" s="704">
        <f t="shared" si="12"/>
        <v>100</v>
      </c>
      <c r="X42" s="1353"/>
      <c r="Y42" s="3738"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38"/>
      <c r="Q43" s="1350">
        <f t="shared" si="14"/>
        <v>111</v>
      </c>
      <c r="R43" s="703" t="s">
        <v>14</v>
      </c>
      <c r="S43" s="704">
        <f t="shared" si="10"/>
        <v>100</v>
      </c>
      <c r="T43" s="703" t="s">
        <v>14</v>
      </c>
      <c r="U43" s="704">
        <f t="shared" si="11"/>
        <v>100</v>
      </c>
      <c r="V43" s="703" t="s">
        <v>14</v>
      </c>
      <c r="W43" s="704">
        <f t="shared" si="12"/>
        <v>100</v>
      </c>
      <c r="X43" s="1353"/>
      <c r="Y43" s="373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38"/>
      <c r="Q44" s="1350">
        <f t="shared" si="14"/>
        <v>111</v>
      </c>
      <c r="R44" s="703" t="s">
        <v>14</v>
      </c>
      <c r="S44" s="704">
        <f t="shared" si="10"/>
        <v>100</v>
      </c>
      <c r="T44" s="703" t="s">
        <v>14</v>
      </c>
      <c r="U44" s="704">
        <f t="shared" si="11"/>
        <v>100</v>
      </c>
      <c r="V44" s="703" t="s">
        <v>14</v>
      </c>
      <c r="W44" s="704">
        <f t="shared" si="12"/>
        <v>100</v>
      </c>
      <c r="X44" s="1353"/>
      <c r="Y44" s="373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38"/>
      <c r="Q45" s="1350">
        <f t="shared" si="14"/>
        <v>111</v>
      </c>
      <c r="R45" s="706" t="s">
        <v>14</v>
      </c>
      <c r="S45" s="707">
        <f t="shared" si="10"/>
        <v>100</v>
      </c>
      <c r="T45" s="706" t="s">
        <v>14</v>
      </c>
      <c r="U45" s="707">
        <f t="shared" si="11"/>
        <v>100</v>
      </c>
      <c r="V45" s="706" t="s">
        <v>14</v>
      </c>
      <c r="W45" s="707">
        <f t="shared" si="12"/>
        <v>100</v>
      </c>
      <c r="X45" s="708"/>
      <c r="Y45" s="3738"/>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8"/>
      <c r="M46" s="2719"/>
      <c r="N46" s="2710"/>
      <c r="O46" s="2719"/>
      <c r="P46" s="3731" t="str">
        <f>A46</f>
        <v>成交单价</v>
      </c>
      <c r="Q46" s="3731"/>
      <c r="R46" s="3726">
        <f>E46</f>
        <v>0</v>
      </c>
      <c r="S46" s="3726"/>
      <c r="T46" s="3726">
        <f>G46</f>
        <v>0</v>
      </c>
      <c r="U46" s="3726"/>
      <c r="V46" s="3726">
        <f>I46</f>
        <v>0</v>
      </c>
      <c r="W46" s="3726"/>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8"/>
      <c r="M47" s="2719"/>
      <c r="N47" s="2719"/>
      <c r="O47" s="2719"/>
      <c r="P47" s="3731" t="str">
        <f>A47</f>
        <v>比较价值（元/平方米）</v>
      </c>
      <c r="Q47" s="3731"/>
      <c r="R47" s="3760" t="e">
        <f>ROUND(PRODUCT(R46,AA7:AA45),0)</f>
        <v>#DIV/0!</v>
      </c>
      <c r="S47" s="3760"/>
      <c r="T47" s="3760" t="e">
        <f>ROUND(PRODUCT(T46,AB7:AB45),0)</f>
        <v>#DIV/0!</v>
      </c>
      <c r="U47" s="3760"/>
      <c r="V47" s="3760" t="e">
        <f>ROUND(PRODUCT(V46,AC7:AC45),0)</f>
        <v>#DIV/0!</v>
      </c>
      <c r="W47" s="3760"/>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8"/>
      <c r="M48" s="2719"/>
      <c r="N48" s="2719"/>
      <c r="O48" s="2719"/>
      <c r="P48" s="3728" t="str">
        <f>A48</f>
        <v>估价对象XX用房的比较价值（楼面单价，元/平方米）</v>
      </c>
      <c r="Q48" s="3729"/>
      <c r="R48" s="3761" t="e">
        <f>ROUND(IF(D47="简单平均",AVERAGE(R47:W47),R47*F47+T47*H47+V47*J47),0)</f>
        <v>#DIV/0!</v>
      </c>
      <c r="S48" s="3761"/>
      <c r="T48" s="3761"/>
      <c r="U48" s="3761"/>
      <c r="V48" s="3761"/>
      <c r="W48" s="3761"/>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1" t="s">
        <v>1881</v>
      </c>
      <c r="D55" s="1982" t="s">
        <v>1882</v>
      </c>
      <c r="E55" s="634" t="s">
        <v>1883</v>
      </c>
      <c r="F55" s="888" t="s">
        <v>1884</v>
      </c>
      <c r="G55" s="3714" t="s">
        <v>1885</v>
      </c>
      <c r="H55" s="3762"/>
      <c r="I55" s="135" t="s">
        <v>1886</v>
      </c>
      <c r="J55" s="1983">
        <f>项目基本情况!F35</f>
        <v>0</v>
      </c>
      <c r="K55" s="1984"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2">
        <v>1</v>
      </c>
      <c r="E56" s="638">
        <f>'数据-汇总表'!E8+'数据-汇总表'!E9</f>
        <v>1286.47</v>
      </c>
      <c r="F56" s="884" t="e">
        <f t="shared" ref="F56:F64" si="15">ROUND(B56*E56/10000,0)</f>
        <v>#DIV/0!</v>
      </c>
      <c r="G56" s="3713"/>
      <c r="H56" s="373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3">
        <v>0.25</v>
      </c>
      <c r="E57" s="642"/>
      <c r="F57" s="884" t="e">
        <f t="shared" si="15"/>
        <v>#DIV/0!</v>
      </c>
      <c r="G57" s="3000" t="s">
        <v>1890</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1286.47</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19"/>
      <c r="Q67" s="2719"/>
      <c r="R67" s="2719"/>
      <c r="S67" s="2719"/>
      <c r="T67" s="2719"/>
      <c r="U67" s="2719"/>
      <c r="V67" s="2719"/>
      <c r="W67" s="2719"/>
      <c r="X67" s="2719"/>
      <c r="Y67" s="2719"/>
      <c r="Z67" s="2719"/>
      <c r="AA67" s="2719"/>
      <c r="AB67" s="2719"/>
      <c r="AC67" s="2719"/>
    </row>
    <row r="68" spans="1:29" ht="21.75" thickBot="1">
      <c r="A68" s="692" t="s">
        <v>1796</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1"/>
      <c r="P71" s="2733"/>
      <c r="Q71" s="2733"/>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1767</v>
      </c>
      <c r="B4" s="356"/>
      <c r="C4" s="3714" t="s">
        <v>1768</v>
      </c>
      <c r="D4" s="3715"/>
      <c r="E4" s="3716" t="s">
        <v>1769</v>
      </c>
      <c r="F4" s="3717"/>
      <c r="G4" s="3714" t="s">
        <v>1770</v>
      </c>
      <c r="H4" s="3715"/>
      <c r="I4" s="3714" t="s">
        <v>1771</v>
      </c>
      <c r="J4" s="3715"/>
      <c r="K4" s="559" t="s">
        <v>1772</v>
      </c>
      <c r="L4" s="2709"/>
      <c r="M4" s="2710"/>
      <c r="N4" s="2710"/>
      <c r="O4" s="2710"/>
      <c r="P4" s="3718" t="s">
        <v>1773</v>
      </c>
      <c r="Q4" s="3719"/>
      <c r="R4" s="3701" t="s">
        <v>1769</v>
      </c>
      <c r="S4" s="3702"/>
      <c r="T4" s="3701" t="s">
        <v>1770</v>
      </c>
      <c r="U4" s="3702"/>
      <c r="V4" s="3726" t="s">
        <v>1771</v>
      </c>
      <c r="W4" s="3726"/>
      <c r="X4" s="1353"/>
      <c r="Y4" s="3701" t="s">
        <v>1773</v>
      </c>
      <c r="Z4" s="3702"/>
      <c r="AA4" s="3696" t="s">
        <v>1769</v>
      </c>
      <c r="AB4" s="3697" t="s">
        <v>1770</v>
      </c>
      <c r="AC4" s="3696" t="s">
        <v>1771</v>
      </c>
    </row>
    <row r="5" spans="1:29" ht="15">
      <c r="A5" s="358"/>
      <c r="B5" s="359"/>
      <c r="C5" s="3707" t="s">
        <v>1671</v>
      </c>
      <c r="D5" s="3708"/>
      <c r="E5" s="3705" t="s">
        <v>1672</v>
      </c>
      <c r="F5" s="3706"/>
      <c r="G5" s="3707" t="s">
        <v>1673</v>
      </c>
      <c r="H5" s="3708"/>
      <c r="I5" s="3707" t="s">
        <v>1674</v>
      </c>
      <c r="J5" s="3708"/>
      <c r="K5" s="559"/>
      <c r="L5" s="2709"/>
      <c r="M5" s="2710"/>
      <c r="N5" s="2710"/>
      <c r="O5" s="2710"/>
      <c r="P5" s="3720"/>
      <c r="Q5" s="3721"/>
      <c r="R5" s="3703"/>
      <c r="S5" s="3704"/>
      <c r="T5" s="3703"/>
      <c r="U5" s="3704"/>
      <c r="V5" s="3726"/>
      <c r="W5" s="3726"/>
      <c r="X5" s="1353"/>
      <c r="Y5" s="3703"/>
      <c r="Z5" s="3704"/>
      <c r="AA5" s="3697"/>
      <c r="AB5" s="3697"/>
      <c r="AC5" s="3697"/>
    </row>
    <row r="6" spans="1:29" ht="15.75" thickBot="1">
      <c r="A6" s="360"/>
      <c r="B6" s="361"/>
      <c r="C6" s="3763" t="s">
        <v>1917</v>
      </c>
      <c r="D6" s="3764"/>
      <c r="E6" s="3765" t="s">
        <v>1917</v>
      </c>
      <c r="F6" s="3766"/>
      <c r="G6" s="3763" t="s">
        <v>1917</v>
      </c>
      <c r="H6" s="3764"/>
      <c r="I6" s="3763" t="s">
        <v>1917</v>
      </c>
      <c r="J6" s="3764"/>
      <c r="K6" s="559" t="s">
        <v>1676</v>
      </c>
      <c r="L6" s="2709"/>
      <c r="M6" s="2710"/>
      <c r="N6" s="2710"/>
      <c r="O6" s="2710"/>
      <c r="P6" s="3722"/>
      <c r="Q6" s="3723"/>
      <c r="R6" s="3703"/>
      <c r="S6" s="3704"/>
      <c r="T6" s="3724"/>
      <c r="U6" s="3725"/>
      <c r="V6" s="3726"/>
      <c r="W6" s="3726"/>
      <c r="X6" s="1353"/>
      <c r="Y6" s="3724"/>
      <c r="Z6" s="3725"/>
      <c r="AA6" s="3698"/>
      <c r="AB6" s="3698"/>
      <c r="AC6" s="3698"/>
    </row>
    <row r="7" spans="1:29" s="108" customFormat="1" ht="15.75" thickBot="1">
      <c r="A7" s="362" t="s">
        <v>1677</v>
      </c>
      <c r="B7" s="363"/>
      <c r="C7" s="364">
        <f>'数据-取费表'!B2</f>
        <v>44965</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699" t="s">
        <v>1678</v>
      </c>
      <c r="Q7" s="3727"/>
      <c r="R7" s="699" t="s">
        <v>14</v>
      </c>
      <c r="S7" s="700">
        <f t="shared" ref="S7:S15" si="0">F7</f>
        <v>0</v>
      </c>
      <c r="T7" s="699" t="s">
        <v>14</v>
      </c>
      <c r="U7" s="700">
        <f t="shared" ref="U7:U15" si="1">H7</f>
        <v>0</v>
      </c>
      <c r="V7" s="699" t="s">
        <v>14</v>
      </c>
      <c r="W7" s="700">
        <f t="shared" ref="W7:W15" si="2">J7</f>
        <v>0</v>
      </c>
      <c r="X7" s="701"/>
      <c r="Y7" s="3699" t="s">
        <v>1678</v>
      </c>
      <c r="Z7" s="3700"/>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9" t="s">
        <v>1681</v>
      </c>
      <c r="Q8" s="3700"/>
      <c r="R8" s="699" t="s">
        <v>14</v>
      </c>
      <c r="S8" s="700">
        <f t="shared" si="0"/>
        <v>0</v>
      </c>
      <c r="T8" s="699" t="s">
        <v>14</v>
      </c>
      <c r="U8" s="700">
        <f t="shared" si="1"/>
        <v>0</v>
      </c>
      <c r="V8" s="699" t="s">
        <v>14</v>
      </c>
      <c r="W8" s="700">
        <f t="shared" si="2"/>
        <v>0</v>
      </c>
      <c r="X8" s="701"/>
      <c r="Y8" s="3699" t="s">
        <v>1681</v>
      </c>
      <c r="Z8" s="3700"/>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31" t="s">
        <v>1684</v>
      </c>
      <c r="Q9" s="1341" t="str">
        <f t="shared" ref="Q9:Q15" si="6">B9</f>
        <v>用途</v>
      </c>
      <c r="R9" s="699" t="s">
        <v>14</v>
      </c>
      <c r="S9" s="700">
        <f t="shared" si="0"/>
        <v>100</v>
      </c>
      <c r="T9" s="699" t="s">
        <v>14</v>
      </c>
      <c r="U9" s="700">
        <f t="shared" si="1"/>
        <v>100</v>
      </c>
      <c r="V9" s="699" t="s">
        <v>14</v>
      </c>
      <c r="W9" s="700">
        <f t="shared" si="2"/>
        <v>100</v>
      </c>
      <c r="X9" s="701"/>
      <c r="Y9" s="3646"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142</v>
      </c>
      <c r="G10" s="383"/>
      <c r="H10" s="127">
        <f>ROUND(100/'数据-取费表'!G16,0)</f>
        <v>142</v>
      </c>
      <c r="I10" s="383"/>
      <c r="J10" s="127">
        <f>ROUND(100/'数据-取费表'!G16,0)</f>
        <v>142</v>
      </c>
      <c r="K10" s="620"/>
      <c r="L10" s="2713"/>
      <c r="M10" s="2714"/>
      <c r="N10" s="2714"/>
      <c r="O10" s="2767"/>
      <c r="P10" s="3731"/>
      <c r="Q10" s="1341" t="str">
        <f t="shared" si="6"/>
        <v>土地使用年限（年）</v>
      </c>
      <c r="R10" s="699" t="s">
        <v>14</v>
      </c>
      <c r="S10" s="700">
        <f t="shared" si="0"/>
        <v>142</v>
      </c>
      <c r="T10" s="699" t="s">
        <v>14</v>
      </c>
      <c r="U10" s="700">
        <f t="shared" si="1"/>
        <v>142</v>
      </c>
      <c r="V10" s="699" t="s">
        <v>14</v>
      </c>
      <c r="W10" s="700">
        <f t="shared" si="2"/>
        <v>142</v>
      </c>
      <c r="X10" s="701"/>
      <c r="Y10" s="3646"/>
      <c r="Z10" s="52" t="str">
        <f t="shared" si="7"/>
        <v>土地使用年限（年）</v>
      </c>
      <c r="AA10" s="702">
        <f t="shared" si="3"/>
        <v>0.70422535211267601</v>
      </c>
      <c r="AB10" s="702">
        <f t="shared" si="4"/>
        <v>0.70422535211267601</v>
      </c>
      <c r="AC10" s="702">
        <f t="shared" si="5"/>
        <v>0.70422535211267601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1"/>
      <c r="Q11" s="1341" t="str">
        <f t="shared" si="6"/>
        <v>容积率</v>
      </c>
      <c r="R11" s="699" t="s">
        <v>14</v>
      </c>
      <c r="S11" s="700" t="e">
        <f t="shared" si="0"/>
        <v>#N/A</v>
      </c>
      <c r="T11" s="699" t="s">
        <v>14</v>
      </c>
      <c r="U11" s="700" t="e">
        <f t="shared" si="1"/>
        <v>#N/A</v>
      </c>
      <c r="V11" s="699" t="s">
        <v>14</v>
      </c>
      <c r="W11" s="700" t="e">
        <f t="shared" si="2"/>
        <v>#N/A</v>
      </c>
      <c r="X11" s="701"/>
      <c r="Y11" s="36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1"/>
      <c r="Q12" s="1341">
        <f t="shared" si="6"/>
        <v>111</v>
      </c>
      <c r="R12" s="699" t="s">
        <v>14</v>
      </c>
      <c r="S12" s="700">
        <f t="shared" si="0"/>
        <v>100</v>
      </c>
      <c r="T12" s="699" t="s">
        <v>14</v>
      </c>
      <c r="U12" s="700">
        <f t="shared" si="1"/>
        <v>100</v>
      </c>
      <c r="V12" s="699" t="s">
        <v>14</v>
      </c>
      <c r="W12" s="700">
        <f t="shared" si="2"/>
        <v>100</v>
      </c>
      <c r="X12" s="701"/>
      <c r="Y12" s="36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1"/>
      <c r="Q13" s="1341">
        <f t="shared" si="6"/>
        <v>111</v>
      </c>
      <c r="R13" s="699" t="s">
        <v>14</v>
      </c>
      <c r="S13" s="700">
        <f t="shared" si="0"/>
        <v>100</v>
      </c>
      <c r="T13" s="699" t="s">
        <v>14</v>
      </c>
      <c r="U13" s="700">
        <f t="shared" si="1"/>
        <v>100</v>
      </c>
      <c r="V13" s="699" t="s">
        <v>14</v>
      </c>
      <c r="W13" s="700">
        <f t="shared" si="2"/>
        <v>100</v>
      </c>
      <c r="X13" s="701"/>
      <c r="Y13" s="36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1"/>
      <c r="Q14" s="1341">
        <f t="shared" si="6"/>
        <v>111</v>
      </c>
      <c r="R14" s="699" t="s">
        <v>14</v>
      </c>
      <c r="S14" s="700">
        <f t="shared" si="0"/>
        <v>100</v>
      </c>
      <c r="T14" s="699" t="s">
        <v>14</v>
      </c>
      <c r="U14" s="700">
        <f t="shared" si="1"/>
        <v>100</v>
      </c>
      <c r="V14" s="699" t="s">
        <v>14</v>
      </c>
      <c r="W14" s="700">
        <f t="shared" si="2"/>
        <v>100</v>
      </c>
      <c r="X14" s="701"/>
      <c r="Y14" s="3646"/>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3" t="s">
        <v>1689</v>
      </c>
      <c r="Q15" s="1350" t="str">
        <f t="shared" si="6"/>
        <v>产业集聚程度</v>
      </c>
      <c r="R15" s="703" t="s">
        <v>14</v>
      </c>
      <c r="S15" s="704">
        <f t="shared" si="0"/>
        <v>100</v>
      </c>
      <c r="T15" s="703" t="s">
        <v>14</v>
      </c>
      <c r="U15" s="704">
        <f t="shared" si="1"/>
        <v>100</v>
      </c>
      <c r="V15" s="703" t="s">
        <v>14</v>
      </c>
      <c r="W15" s="704">
        <f t="shared" si="2"/>
        <v>100</v>
      </c>
      <c r="X15" s="1353"/>
      <c r="Y15" s="3733"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34"/>
      <c r="Q16" s="1350"/>
      <c r="R16" s="703"/>
      <c r="S16" s="704"/>
      <c r="T16" s="703"/>
      <c r="U16" s="704"/>
      <c r="V16" s="703"/>
      <c r="W16" s="704"/>
      <c r="X16" s="1353"/>
      <c r="Y16" s="3734"/>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34"/>
      <c r="Q17" s="1350" t="str">
        <f>B17</f>
        <v>交通便捷度</v>
      </c>
      <c r="R17" s="703" t="s">
        <v>14</v>
      </c>
      <c r="S17" s="704">
        <f>F17</f>
        <v>100</v>
      </c>
      <c r="T17" s="703" t="s">
        <v>14</v>
      </c>
      <c r="U17" s="704">
        <f>H17</f>
        <v>100</v>
      </c>
      <c r="V17" s="703" t="s">
        <v>14</v>
      </c>
      <c r="W17" s="704">
        <f>J17</f>
        <v>100</v>
      </c>
      <c r="X17" s="1353"/>
      <c r="Y17" s="373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34"/>
      <c r="Q18" s="1350"/>
      <c r="R18" s="703"/>
      <c r="S18" s="704"/>
      <c r="T18" s="703"/>
      <c r="U18" s="704"/>
      <c r="V18" s="703"/>
      <c r="W18" s="704"/>
      <c r="X18" s="1353"/>
      <c r="Y18" s="3734"/>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34"/>
      <c r="Q19" s="1350" t="str">
        <f t="shared" ref="Q19:Q33" si="8">B19</f>
        <v>区域土地利用方向</v>
      </c>
      <c r="R19" s="703" t="s">
        <v>14</v>
      </c>
      <c r="S19" s="704">
        <f>F19</f>
        <v>100</v>
      </c>
      <c r="T19" s="703" t="s">
        <v>14</v>
      </c>
      <c r="U19" s="704">
        <f>H19</f>
        <v>100</v>
      </c>
      <c r="V19" s="703" t="s">
        <v>14</v>
      </c>
      <c r="W19" s="704">
        <f>J19</f>
        <v>100</v>
      </c>
      <c r="X19" s="1353"/>
      <c r="Y19" s="373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34"/>
      <c r="Q20" s="1350"/>
      <c r="R20" s="703"/>
      <c r="S20" s="704"/>
      <c r="T20" s="703"/>
      <c r="U20" s="704"/>
      <c r="V20" s="703"/>
      <c r="W20" s="704"/>
      <c r="X20" s="1353"/>
      <c r="Y20" s="3734"/>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34"/>
      <c r="Q21" s="1350" t="str">
        <f t="shared" si="8"/>
        <v>环境状况</v>
      </c>
      <c r="R21" s="703" t="s">
        <v>14</v>
      </c>
      <c r="S21" s="704">
        <f>F21</f>
        <v>100</v>
      </c>
      <c r="T21" s="703" t="s">
        <v>14</v>
      </c>
      <c r="U21" s="704">
        <f>H21</f>
        <v>100</v>
      </c>
      <c r="V21" s="703" t="s">
        <v>14</v>
      </c>
      <c r="W21" s="704">
        <f>J21</f>
        <v>100</v>
      </c>
      <c r="X21" s="1353"/>
      <c r="Y21" s="373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34"/>
      <c r="Q22" s="1350"/>
      <c r="R22" s="703"/>
      <c r="S22" s="704"/>
      <c r="T22" s="703"/>
      <c r="U22" s="704"/>
      <c r="V22" s="703"/>
      <c r="W22" s="704"/>
      <c r="X22" s="1353"/>
      <c r="Y22" s="3734"/>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34"/>
      <c r="Q23" s="1341" t="str">
        <f t="shared" si="8"/>
        <v>公共配套设施</v>
      </c>
      <c r="R23" s="699" t="s">
        <v>14</v>
      </c>
      <c r="S23" s="700">
        <f>F23</f>
        <v>100</v>
      </c>
      <c r="T23" s="699" t="s">
        <v>14</v>
      </c>
      <c r="U23" s="700">
        <f>H23</f>
        <v>100</v>
      </c>
      <c r="V23" s="699" t="s">
        <v>14</v>
      </c>
      <c r="W23" s="700">
        <f>J23</f>
        <v>100</v>
      </c>
      <c r="X23" s="701"/>
      <c r="Y23" s="373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1"/>
      <c r="M24" s="2712"/>
      <c r="N24" s="2712"/>
      <c r="O24" s="2766"/>
      <c r="P24" s="3734"/>
      <c r="Q24" s="1341"/>
      <c r="R24" s="699"/>
      <c r="S24" s="700"/>
      <c r="T24" s="699"/>
      <c r="U24" s="700"/>
      <c r="V24" s="699"/>
      <c r="W24" s="700"/>
      <c r="X24" s="701"/>
      <c r="Y24" s="3734"/>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34"/>
      <c r="Q25" s="1341" t="str">
        <f t="shared" ref="Q25" si="9">B25</f>
        <v>基础设施水平</v>
      </c>
      <c r="R25" s="699" t="s">
        <v>14</v>
      </c>
      <c r="S25" s="700">
        <f>F25</f>
        <v>100</v>
      </c>
      <c r="T25" s="699" t="s">
        <v>14</v>
      </c>
      <c r="U25" s="700">
        <f>H25</f>
        <v>100</v>
      </c>
      <c r="V25" s="699" t="s">
        <v>14</v>
      </c>
      <c r="W25" s="700">
        <f>J25</f>
        <v>100</v>
      </c>
      <c r="X25" s="701"/>
      <c r="Y25" s="373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1"/>
      <c r="M26" s="2712"/>
      <c r="N26" s="2712"/>
      <c r="O26" s="2766"/>
      <c r="P26" s="3734"/>
      <c r="Q26" s="1341"/>
      <c r="R26" s="699"/>
      <c r="S26" s="700"/>
      <c r="T26" s="699"/>
      <c r="U26" s="700"/>
      <c r="V26" s="699"/>
      <c r="W26" s="700"/>
      <c r="X26" s="701"/>
      <c r="Y26" s="3734"/>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3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4"/>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34"/>
      <c r="Q28" s="1350" t="str">
        <f t="shared" si="8"/>
        <v>毗邻道路的类型与等级</v>
      </c>
      <c r="R28" s="703" t="s">
        <v>14</v>
      </c>
      <c r="S28" s="704">
        <f t="shared" si="10"/>
        <v>100</v>
      </c>
      <c r="T28" s="703" t="s">
        <v>14</v>
      </c>
      <c r="U28" s="704">
        <f t="shared" si="11"/>
        <v>100</v>
      </c>
      <c r="V28" s="703" t="s">
        <v>14</v>
      </c>
      <c r="W28" s="704">
        <f t="shared" si="12"/>
        <v>100</v>
      </c>
      <c r="X28" s="1353"/>
      <c r="Y28" s="373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34"/>
      <c r="Q29" s="1350"/>
      <c r="R29" s="703"/>
      <c r="S29" s="704"/>
      <c r="T29" s="703"/>
      <c r="U29" s="704"/>
      <c r="V29" s="703"/>
      <c r="W29" s="704"/>
      <c r="X29" s="1353"/>
      <c r="Y29" s="3734"/>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34"/>
      <c r="Q30" s="1350" t="str">
        <f t="shared" si="8"/>
        <v>土地级别</v>
      </c>
      <c r="R30" s="703" t="s">
        <v>14</v>
      </c>
      <c r="S30" s="704">
        <f t="shared" si="10"/>
        <v>100</v>
      </c>
      <c r="T30" s="703" t="s">
        <v>14</v>
      </c>
      <c r="U30" s="704">
        <f t="shared" si="11"/>
        <v>100</v>
      </c>
      <c r="V30" s="703" t="s">
        <v>14</v>
      </c>
      <c r="W30" s="704">
        <f t="shared" si="12"/>
        <v>100</v>
      </c>
      <c r="X30" s="1353"/>
      <c r="Y30" s="373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34"/>
      <c r="Q31" s="1350">
        <f t="shared" si="8"/>
        <v>111</v>
      </c>
      <c r="R31" s="703" t="s">
        <v>14</v>
      </c>
      <c r="S31" s="704">
        <f t="shared" si="10"/>
        <v>100</v>
      </c>
      <c r="T31" s="703" t="s">
        <v>14</v>
      </c>
      <c r="U31" s="704">
        <f t="shared" si="11"/>
        <v>100</v>
      </c>
      <c r="V31" s="703" t="s">
        <v>14</v>
      </c>
      <c r="W31" s="704">
        <f t="shared" si="12"/>
        <v>100</v>
      </c>
      <c r="X31" s="1353"/>
      <c r="Y31" s="373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8" t="s">
        <v>1694</v>
      </c>
      <c r="Q32" s="1350">
        <f t="shared" si="8"/>
        <v>111</v>
      </c>
      <c r="R32" s="703" t="s">
        <v>14</v>
      </c>
      <c r="S32" s="704">
        <f t="shared" si="10"/>
        <v>100</v>
      </c>
      <c r="T32" s="703" t="s">
        <v>14</v>
      </c>
      <c r="U32" s="704">
        <f t="shared" si="11"/>
        <v>100</v>
      </c>
      <c r="V32" s="703" t="s">
        <v>14</v>
      </c>
      <c r="W32" s="704">
        <f t="shared" si="12"/>
        <v>100</v>
      </c>
      <c r="X32" s="1353"/>
      <c r="Y32" s="3738"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38"/>
      <c r="Q33" s="1350">
        <f t="shared" si="8"/>
        <v>111</v>
      </c>
      <c r="R33" s="706" t="s">
        <v>14</v>
      </c>
      <c r="S33" s="707">
        <f t="shared" si="10"/>
        <v>100</v>
      </c>
      <c r="T33" s="706" t="s">
        <v>14</v>
      </c>
      <c r="U33" s="707">
        <f t="shared" si="11"/>
        <v>100</v>
      </c>
      <c r="V33" s="706" t="s">
        <v>14</v>
      </c>
      <c r="W33" s="707">
        <f t="shared" si="12"/>
        <v>100</v>
      </c>
      <c r="X33" s="708"/>
      <c r="Y33" s="3738"/>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38"/>
      <c r="Q34" s="1350" t="str">
        <f>B34</f>
        <v>宗地面积</v>
      </c>
      <c r="R34" s="703" t="s">
        <v>14</v>
      </c>
      <c r="S34" s="704" t="e">
        <f t="shared" si="10"/>
        <v>#N/A</v>
      </c>
      <c r="T34" s="703" t="s">
        <v>14</v>
      </c>
      <c r="U34" s="704" t="e">
        <f t="shared" si="11"/>
        <v>#N/A</v>
      </c>
      <c r="V34" s="703" t="s">
        <v>14</v>
      </c>
      <c r="W34" s="704" t="e">
        <f t="shared" si="12"/>
        <v>#N/A</v>
      </c>
      <c r="X34" s="1353"/>
      <c r="Y34" s="3738"/>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38"/>
      <c r="Q35" s="1350" t="str">
        <f t="shared" ref="Q35:Q40" si="14">B35</f>
        <v>宗地形状</v>
      </c>
      <c r="R35" s="703" t="s">
        <v>14</v>
      </c>
      <c r="S35" s="704">
        <f t="shared" si="10"/>
        <v>100</v>
      </c>
      <c r="T35" s="703" t="s">
        <v>14</v>
      </c>
      <c r="U35" s="704">
        <f t="shared" si="11"/>
        <v>100</v>
      </c>
      <c r="V35" s="703" t="s">
        <v>14</v>
      </c>
      <c r="W35" s="704">
        <f t="shared" si="12"/>
        <v>100</v>
      </c>
      <c r="X35" s="1353"/>
      <c r="Y35" s="3738"/>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38"/>
      <c r="Q36" s="1350" t="str">
        <f t="shared" si="14"/>
        <v>宗地开发程度</v>
      </c>
      <c r="R36" s="699" t="s">
        <v>14</v>
      </c>
      <c r="S36" s="700">
        <f t="shared" si="10"/>
        <v>100</v>
      </c>
      <c r="T36" s="699" t="s">
        <v>14</v>
      </c>
      <c r="U36" s="700">
        <f t="shared" si="11"/>
        <v>100</v>
      </c>
      <c r="V36" s="699" t="s">
        <v>14</v>
      </c>
      <c r="W36" s="700">
        <f t="shared" si="12"/>
        <v>100</v>
      </c>
      <c r="X36" s="701"/>
      <c r="Y36" s="3738"/>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38" t="s">
        <v>1694</v>
      </c>
      <c r="Q37" s="1350" t="str">
        <f t="shared" si="14"/>
        <v>工程地质条件</v>
      </c>
      <c r="R37" s="703" t="s">
        <v>14</v>
      </c>
      <c r="S37" s="704">
        <f t="shared" si="10"/>
        <v>100</v>
      </c>
      <c r="T37" s="703" t="s">
        <v>14</v>
      </c>
      <c r="U37" s="704">
        <f t="shared" si="11"/>
        <v>100</v>
      </c>
      <c r="V37" s="703" t="s">
        <v>14</v>
      </c>
      <c r="W37" s="704">
        <f t="shared" si="12"/>
        <v>100</v>
      </c>
      <c r="X37" s="1353"/>
      <c r="Y37" s="3738"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38"/>
      <c r="Q38" s="1350">
        <f t="shared" si="14"/>
        <v>111</v>
      </c>
      <c r="R38" s="703" t="s">
        <v>14</v>
      </c>
      <c r="S38" s="704">
        <f t="shared" si="10"/>
        <v>100</v>
      </c>
      <c r="T38" s="703" t="s">
        <v>14</v>
      </c>
      <c r="U38" s="704">
        <f t="shared" si="11"/>
        <v>100</v>
      </c>
      <c r="V38" s="703" t="s">
        <v>14</v>
      </c>
      <c r="W38" s="704">
        <f t="shared" si="12"/>
        <v>100</v>
      </c>
      <c r="X38" s="1353"/>
      <c r="Y38" s="373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38"/>
      <c r="Q39" s="1350">
        <f t="shared" si="14"/>
        <v>111</v>
      </c>
      <c r="R39" s="703" t="s">
        <v>14</v>
      </c>
      <c r="S39" s="704">
        <f t="shared" si="10"/>
        <v>100</v>
      </c>
      <c r="T39" s="703" t="s">
        <v>14</v>
      </c>
      <c r="U39" s="704">
        <f t="shared" si="11"/>
        <v>100</v>
      </c>
      <c r="V39" s="703" t="s">
        <v>14</v>
      </c>
      <c r="W39" s="704">
        <f t="shared" si="12"/>
        <v>100</v>
      </c>
      <c r="X39" s="1353"/>
      <c r="Y39" s="373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38"/>
      <c r="Q40" s="1350">
        <f t="shared" si="14"/>
        <v>111</v>
      </c>
      <c r="R40" s="706" t="s">
        <v>14</v>
      </c>
      <c r="S40" s="707">
        <f t="shared" si="10"/>
        <v>100</v>
      </c>
      <c r="T40" s="706" t="s">
        <v>14</v>
      </c>
      <c r="U40" s="707">
        <f t="shared" si="11"/>
        <v>100</v>
      </c>
      <c r="V40" s="706" t="s">
        <v>14</v>
      </c>
      <c r="W40" s="707">
        <f t="shared" si="12"/>
        <v>100</v>
      </c>
      <c r="X40" s="708"/>
      <c r="Y40" s="3738"/>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8"/>
      <c r="M41" s="2710"/>
      <c r="N41" s="2710"/>
      <c r="O41" s="2719"/>
      <c r="P41" s="3731" t="str">
        <f>A41</f>
        <v>成交单价</v>
      </c>
      <c r="Q41" s="3731"/>
      <c r="R41" s="3726">
        <f>E41</f>
        <v>0</v>
      </c>
      <c r="S41" s="3726"/>
      <c r="T41" s="3726">
        <f>G41</f>
        <v>0</v>
      </c>
      <c r="U41" s="3726"/>
      <c r="V41" s="3726">
        <f>I41</f>
        <v>0</v>
      </c>
      <c r="W41" s="3726"/>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8"/>
      <c r="M42" s="2710"/>
      <c r="N42" s="2710"/>
      <c r="O42" s="2719"/>
      <c r="P42" s="3731" t="str">
        <f>A42</f>
        <v>比较价值（元/平方米）</v>
      </c>
      <c r="Q42" s="3731"/>
      <c r="R42" s="3760" t="e">
        <f>ROUND(PRODUCT(R41,AA7:AA40),0)</f>
        <v>#DIV/0!</v>
      </c>
      <c r="S42" s="3760"/>
      <c r="T42" s="3760" t="e">
        <f>ROUND(PRODUCT(T41,AB7:AB40),0)</f>
        <v>#DIV/0!</v>
      </c>
      <c r="U42" s="3760"/>
      <c r="V42" s="3760" t="e">
        <f>ROUND(PRODUCT(V41,AC7:AC40),0)</f>
        <v>#DIV/0!</v>
      </c>
      <c r="W42" s="3760"/>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8"/>
      <c r="M43" s="2710"/>
      <c r="N43" s="2710"/>
      <c r="O43" s="2719"/>
      <c r="P43" s="3728" t="str">
        <f>A43</f>
        <v>估价对象XX用房的比较价值（楼面单价，元/平方米）</v>
      </c>
      <c r="Q43" s="3729"/>
      <c r="R43" s="3761" t="e">
        <f>ROUND(IF(D42="简单平均",AVERAGE(R42:W42),R42*F42+T42*H42+V42*J42),0)</f>
        <v>#DIV/0!</v>
      </c>
      <c r="S43" s="3761"/>
      <c r="T43" s="3761"/>
      <c r="U43" s="3761"/>
      <c r="V43" s="3761"/>
      <c r="W43" s="3761"/>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1" t="s">
        <v>1881</v>
      </c>
      <c r="D50" s="1982" t="s">
        <v>1882</v>
      </c>
      <c r="E50" s="634" t="s">
        <v>1883</v>
      </c>
      <c r="F50" s="635" t="s">
        <v>1884</v>
      </c>
      <c r="G50" s="3714" t="s">
        <v>1885</v>
      </c>
      <c r="H50" s="3762"/>
      <c r="I50" s="1354" t="s">
        <v>1921</v>
      </c>
      <c r="J50" s="1354">
        <f>项目基本情况!F35</f>
        <v>0</v>
      </c>
      <c r="K50" s="1984"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2">
        <v>1</v>
      </c>
      <c r="E51" s="638">
        <f>'数据-汇总表'!E8+'数据-汇总表'!E9</f>
        <v>1286.47</v>
      </c>
      <c r="F51" s="639" t="e">
        <f t="shared" ref="F51:F60" si="15">ROUND(B51*E51/10000,0)</f>
        <v>#DIV/0!</v>
      </c>
      <c r="G51" s="3713"/>
      <c r="H51" s="373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3">
        <v>0.25</v>
      </c>
      <c r="E52" s="642"/>
      <c r="F52" s="639" t="e">
        <f t="shared" si="15"/>
        <v>#DIV/0!</v>
      </c>
      <c r="G52" s="3000" t="s">
        <v>1890</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147.41999999999999</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2" t="s">
        <v>1796</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7"/>
      <c r="G1" s="2787"/>
      <c r="H1" s="2787"/>
      <c r="I1" s="2787"/>
      <c r="J1" s="2787"/>
      <c r="K1" s="2787"/>
      <c r="L1" s="2787"/>
      <c r="M1" s="2787"/>
      <c r="N1" s="2787"/>
      <c r="O1" s="2787"/>
      <c r="P1" s="2787"/>
    </row>
    <row r="2" spans="1:16" ht="15.75">
      <c r="A2" s="2143" t="s">
        <v>2071</v>
      </c>
      <c r="B2" s="2597" t="e">
        <f ca="1">SUMIF(B6:B13,"&lt;&gt;#ref!",B6:B13)</f>
        <v>#DIV/0!</v>
      </c>
      <c r="C2" s="2143" t="s">
        <v>2072</v>
      </c>
      <c r="D2" s="2143" t="s">
        <v>2073</v>
      </c>
      <c r="E2" s="2607">
        <f ca="1">SUMIF(E6:E13,"&lt;&gt;#ref!",E6:E13)</f>
        <v>0</v>
      </c>
      <c r="F2" s="2787"/>
      <c r="G2" s="2787"/>
      <c r="H2" s="2787"/>
      <c r="I2" s="2787"/>
      <c r="J2" s="2787"/>
      <c r="K2" s="2787"/>
      <c r="L2" s="2787"/>
      <c r="M2" s="2787"/>
      <c r="N2" s="2787"/>
      <c r="O2" s="2787"/>
      <c r="P2" s="2787"/>
    </row>
    <row r="3" spans="1:16" ht="15.75">
      <c r="A3" s="2143" t="s">
        <v>2074</v>
      </c>
      <c r="B3" s="2597" t="e">
        <f ca="1">ROUND(B2*10000/E2,0)</f>
        <v>#DIV/0!</v>
      </c>
      <c r="C3" s="2143"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2075</v>
      </c>
      <c r="B5" s="2605" t="s">
        <v>2076</v>
      </c>
      <c r="C5" s="2144"/>
      <c r="D5" s="2787"/>
      <c r="E5" s="2606" t="s">
        <v>2077</v>
      </c>
      <c r="F5" s="2787"/>
      <c r="G5" s="2787"/>
      <c r="H5" s="2787"/>
      <c r="I5" s="2787"/>
      <c r="J5" s="2787"/>
      <c r="K5" s="2787"/>
      <c r="L5" s="2787"/>
      <c r="M5" s="2787"/>
      <c r="N5" s="2787"/>
      <c r="O5" s="2787"/>
      <c r="P5" s="2787"/>
    </row>
    <row r="6" spans="1:16" ht="15.75">
      <c r="A6" s="2604" t="s">
        <v>2078</v>
      </c>
      <c r="B6" s="2597" t="e">
        <f ca="1">SUMIF(INDIRECT("'"&amp;A6&amp;"'"&amp;"!A:A"),"总价",INDIRECT("'"&amp;A6&amp;"'"&amp;"!B:B"))</f>
        <v>#DIV/0!</v>
      </c>
      <c r="C6" s="2143" t="s">
        <v>2072</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3" t="s">
        <v>2072</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2072</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2072</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2072</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2072</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2072</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2072</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8"/>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0</v>
      </c>
      <c r="T2" s="3357" t="e">
        <f t="shared" ref="T2:T16" si="0">ROUND($C$5*$C$22*$C$23*$C$24*S2*$C$28,0)</f>
        <v>#DIV/0!</v>
      </c>
      <c r="U2" s="1211"/>
      <c r="V2" s="3357"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6"/>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0</v>
      </c>
      <c r="T3" s="3357" t="e">
        <f t="shared" si="0"/>
        <v>#DIV/0!</v>
      </c>
      <c r="U3" s="1211"/>
      <c r="V3" s="3357" t="e">
        <f t="shared" ref="V3:V16" si="1">ROUND(T3*U3/10000,0)</f>
        <v>#DIV/0!</v>
      </c>
      <c r="W3" s="1214"/>
      <c r="X3" s="1214"/>
      <c r="Y3" s="1214"/>
      <c r="Z3" s="1214"/>
      <c r="AA3" s="1214"/>
      <c r="AB3" s="1214"/>
      <c r="AC3" s="1215"/>
      <c r="AD3" s="1216"/>
      <c r="AE3" s="1216"/>
      <c r="AF3" s="1216"/>
      <c r="AG3" s="1216"/>
      <c r="AH3" s="1216"/>
      <c r="AI3" s="1216"/>
      <c r="AJ3" s="1217"/>
    </row>
    <row r="4" spans="1:36" ht="15.75">
      <c r="A4" s="3774"/>
      <c r="B4" s="3775"/>
      <c r="C4" s="3775"/>
      <c r="D4" s="3776"/>
      <c r="E4" s="3776"/>
      <c r="F4" s="3776"/>
      <c r="G4" s="3776"/>
      <c r="H4" s="3776"/>
      <c r="I4" s="3776"/>
      <c r="J4" s="3777"/>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0</v>
      </c>
      <c r="T4" s="3357" t="e">
        <f t="shared" si="0"/>
        <v>#DIV/0!</v>
      </c>
      <c r="U4" s="1211"/>
      <c r="V4" s="3357"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v>
      </c>
      <c r="T5" s="3357" t="e">
        <f t="shared" si="0"/>
        <v>#DIV/0!</v>
      </c>
      <c r="U5" s="1211"/>
      <c r="V5" s="3357"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v>
      </c>
      <c r="T6" s="3357" t="e">
        <f t="shared" si="0"/>
        <v>#DIV/0!</v>
      </c>
      <c r="U6" s="1211"/>
      <c r="V6" s="3357" t="e">
        <f t="shared" si="1"/>
        <v>#DIV/0!</v>
      </c>
      <c r="W6" s="1214"/>
      <c r="X6" s="1214"/>
      <c r="Y6" s="1214"/>
      <c r="Z6" s="1214"/>
      <c r="AA6" s="1214"/>
      <c r="AB6" s="1214"/>
      <c r="AC6" s="2009"/>
      <c r="AD6" s="2010"/>
      <c r="AE6" s="2010"/>
      <c r="AF6" s="2010"/>
      <c r="AG6" s="2010"/>
      <c r="AH6" s="2010"/>
      <c r="AI6" s="2010"/>
      <c r="AJ6" s="2011"/>
    </row>
    <row r="7" spans="1:36" ht="24.75" thickBot="1">
      <c r="A7" s="3299"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5"/>
      <c r="T7" s="3357" t="e">
        <f t="shared" si="0"/>
        <v>#DIV/0!</v>
      </c>
      <c r="U7" s="1211"/>
      <c r="V7" s="3357"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4"/>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7" t="e">
        <f t="shared" si="0"/>
        <v>#DIV/0!</v>
      </c>
      <c r="U8" s="1211"/>
      <c r="V8" s="3357" t="e">
        <f t="shared" si="1"/>
        <v>#DIV/0!</v>
      </c>
      <c r="W8" s="3771" t="s">
        <v>1958</v>
      </c>
      <c r="X8" s="3772"/>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7" t="e">
        <f t="shared" si="0"/>
        <v>#DIV/0!</v>
      </c>
      <c r="U9" s="1211"/>
      <c r="V9" s="3357" t="e">
        <f t="shared" si="1"/>
        <v>#DIV/0!</v>
      </c>
      <c r="W9" s="3773"/>
      <c r="X9" s="3358" t="s">
        <v>3269</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7" t="e">
        <f t="shared" si="0"/>
        <v>#DIV/0!</v>
      </c>
      <c r="U10" s="1211"/>
      <c r="V10" s="3357" t="e">
        <f t="shared" si="1"/>
        <v>#DIV/0!</v>
      </c>
      <c r="W10" s="377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8"/>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t="e">
        <f t="shared" si="0"/>
        <v>#DIV/0!</v>
      </c>
      <c r="U11" s="1211"/>
      <c r="V11" s="3357" t="e">
        <f t="shared" si="1"/>
        <v>#DIV/0!</v>
      </c>
      <c r="W11" s="1214"/>
      <c r="X11" s="1214"/>
      <c r="Y11" s="1214"/>
      <c r="Z11" s="1214"/>
      <c r="AA11" s="1214"/>
      <c r="AB11" s="1214"/>
      <c r="AC11" s="1215"/>
      <c r="AD11" s="2783"/>
      <c r="AE11" s="2783"/>
      <c r="AF11" s="2783"/>
      <c r="AG11" s="2783"/>
      <c r="AH11" s="2783"/>
      <c r="AI11" s="2783"/>
      <c r="AJ11" s="2784"/>
    </row>
    <row r="12" spans="1:36" ht="25.5" thickBot="1">
      <c r="A12" s="3299" t="s">
        <v>3239</v>
      </c>
      <c r="B12" s="3300" t="s">
        <v>3240</v>
      </c>
      <c r="C12" s="3301"/>
      <c r="D12" s="3302" t="s">
        <v>3241</v>
      </c>
      <c r="E12" s="3303" t="s">
        <v>3242</v>
      </c>
      <c r="F12" s="3304"/>
      <c r="G12" s="3305"/>
      <c r="H12" s="3305"/>
      <c r="I12" s="3305"/>
      <c r="J12" s="3306"/>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t="e">
        <f t="shared" si="0"/>
        <v>#DIV/0!</v>
      </c>
      <c r="U12" s="1211"/>
      <c r="V12" s="3357" t="e">
        <f t="shared" si="1"/>
        <v>#DIV/0!</v>
      </c>
      <c r="W12" s="1214"/>
      <c r="X12" s="1214"/>
      <c r="Y12" s="1214"/>
      <c r="Z12" s="1214"/>
      <c r="AA12" s="1214"/>
      <c r="AB12" s="1214"/>
      <c r="AC12" s="1215"/>
      <c r="AD12" s="2783"/>
      <c r="AE12" s="2783"/>
      <c r="AF12" s="2783"/>
      <c r="AG12" s="2783"/>
      <c r="AH12" s="2783"/>
      <c r="AI12" s="2783"/>
      <c r="AJ12" s="2784"/>
    </row>
    <row r="13" spans="1:36" ht="15.75" thickBot="1">
      <c r="A13" s="3299" t="s">
        <v>3243</v>
      </c>
      <c r="B13" s="2032" t="s">
        <v>1980</v>
      </c>
      <c r="C13" s="753">
        <f>ROUND(C16*D16*E16*F16*G16*H16*I16*J16,4)</f>
        <v>0</v>
      </c>
      <c r="D13" s="2033" t="s">
        <v>1981</v>
      </c>
      <c r="E13" s="2034"/>
      <c r="F13" s="2034"/>
      <c r="G13" s="2035"/>
      <c r="H13" s="2035"/>
      <c r="I13" s="2035"/>
      <c r="J13" s="2036"/>
      <c r="K13" s="1117"/>
      <c r="L13" s="3295"/>
      <c r="M13" s="3296"/>
      <c r="N13" s="3297"/>
      <c r="O13" s="1117"/>
      <c r="P13" s="1117"/>
      <c r="Q13" s="1117"/>
      <c r="R13" s="1210">
        <v>12</v>
      </c>
      <c r="S13" s="1211"/>
      <c r="T13" s="3357" t="e">
        <f t="shared" si="0"/>
        <v>#DIV/0!</v>
      </c>
      <c r="U13" s="1211"/>
      <c r="V13" s="3357" t="e">
        <f t="shared" si="1"/>
        <v>#DIV/0!</v>
      </c>
      <c r="W13" s="1214"/>
      <c r="X13" s="1214"/>
      <c r="Y13" s="1214"/>
      <c r="Z13" s="1214"/>
      <c r="AA13" s="1214"/>
      <c r="AB13" s="1214"/>
      <c r="AC13" s="1215"/>
      <c r="AD13" s="2783"/>
      <c r="AE13" s="2783"/>
      <c r="AF13" s="2783"/>
      <c r="AG13" s="2783"/>
      <c r="AH13" s="2783"/>
      <c r="AI13" s="2783"/>
      <c r="AJ13" s="2784"/>
    </row>
    <row r="14" spans="1:36" ht="15">
      <c r="A14" s="3293"/>
      <c r="B14" s="2038" t="s">
        <v>1983</v>
      </c>
      <c r="C14" s="2039" t="s">
        <v>1984</v>
      </c>
      <c r="D14" s="1348" t="s">
        <v>1985</v>
      </c>
      <c r="E14" s="27" t="s">
        <v>1986</v>
      </c>
      <c r="F14" s="3307" t="s">
        <v>3244</v>
      </c>
      <c r="G14" s="3307" t="s">
        <v>3244</v>
      </c>
      <c r="H14" s="3307" t="s">
        <v>3244</v>
      </c>
      <c r="I14" s="3307" t="s">
        <v>3244</v>
      </c>
      <c r="J14" s="3307" t="s">
        <v>3244</v>
      </c>
      <c r="K14" s="1117"/>
      <c r="L14" s="1117"/>
      <c r="M14" s="1117"/>
      <c r="N14" s="1117"/>
      <c r="O14" s="1117"/>
      <c r="P14" s="1117"/>
      <c r="Q14" s="1117"/>
      <c r="R14" s="1210">
        <v>13</v>
      </c>
      <c r="S14" s="1211"/>
      <c r="T14" s="3357" t="e">
        <f t="shared" si="0"/>
        <v>#DIV/0!</v>
      </c>
      <c r="U14" s="1211"/>
      <c r="V14" s="3357" t="e">
        <f t="shared" si="1"/>
        <v>#DIV/0!</v>
      </c>
      <c r="W14" s="1214"/>
      <c r="X14" s="1214"/>
      <c r="Y14" s="1214"/>
      <c r="Z14" s="1214"/>
      <c r="AA14" s="1214"/>
      <c r="AB14" s="1214"/>
      <c r="AC14" s="1215"/>
      <c r="AD14" s="2783"/>
      <c r="AE14" s="2783"/>
      <c r="AF14" s="2783"/>
      <c r="AG14" s="2783"/>
      <c r="AH14" s="2783"/>
      <c r="AI14" s="2783"/>
      <c r="AJ14" s="2784"/>
    </row>
    <row r="15" spans="1:36" ht="15">
      <c r="A15" s="3293"/>
      <c r="B15" s="2040"/>
      <c r="C15" s="2041"/>
      <c r="D15" s="2042"/>
      <c r="E15" s="2043"/>
      <c r="F15" s="3308" t="s">
        <v>3245</v>
      </c>
      <c r="G15" s="3309"/>
      <c r="H15" s="3310"/>
      <c r="I15" s="3311"/>
      <c r="J15" s="3312"/>
      <c r="K15" s="1117"/>
      <c r="L15" s="1117"/>
      <c r="M15" s="1117"/>
      <c r="N15" s="1117"/>
      <c r="O15" s="1117"/>
      <c r="P15" s="1117"/>
      <c r="Q15" s="1117"/>
      <c r="R15" s="1210">
        <v>14</v>
      </c>
      <c r="S15" s="1211"/>
      <c r="T15" s="3357" t="e">
        <f t="shared" si="0"/>
        <v>#DIV/0!</v>
      </c>
      <c r="U15" s="1211"/>
      <c r="V15" s="3357" t="e">
        <f t="shared" si="1"/>
        <v>#DIV/0!</v>
      </c>
      <c r="W15" s="1214"/>
      <c r="X15" s="1214"/>
      <c r="Y15" s="1214"/>
      <c r="Z15" s="1214"/>
      <c r="AA15" s="1214"/>
      <c r="AB15" s="1214"/>
      <c r="AC15" s="1215"/>
      <c r="AD15" s="2783"/>
      <c r="AE15" s="2783"/>
      <c r="AF15" s="2783"/>
      <c r="AG15" s="2783"/>
      <c r="AH15" s="2783"/>
      <c r="AI15" s="2783"/>
      <c r="AJ15" s="2784"/>
    </row>
    <row r="16" spans="1:36" ht="15.75" thickBot="1">
      <c r="A16" s="3293"/>
      <c r="B16" s="3315" t="s">
        <v>1987</v>
      </c>
      <c r="C16" s="3313"/>
      <c r="D16" s="3313"/>
      <c r="E16" s="3313"/>
      <c r="F16" s="3313">
        <v>1</v>
      </c>
      <c r="G16" s="3313">
        <v>1</v>
      </c>
      <c r="H16" s="3313">
        <v>1</v>
      </c>
      <c r="I16" s="3313">
        <v>1</v>
      </c>
      <c r="J16" s="3314">
        <v>1</v>
      </c>
      <c r="K16" s="1117"/>
      <c r="L16" s="1995"/>
      <c r="M16" s="1995"/>
      <c r="N16" s="1995"/>
      <c r="O16" s="1995"/>
      <c r="P16" s="1995"/>
      <c r="Q16" s="1117"/>
      <c r="R16" s="1210">
        <v>15</v>
      </c>
      <c r="S16" s="1211"/>
      <c r="T16" s="3357" t="e">
        <f t="shared" si="0"/>
        <v>#DIV/0!</v>
      </c>
      <c r="U16" s="1211"/>
      <c r="V16" s="3357" t="e">
        <f t="shared" si="1"/>
        <v>#DIV/0!</v>
      </c>
      <c r="W16" s="1214"/>
      <c r="X16" s="1214"/>
      <c r="Y16" s="1214"/>
      <c r="Z16" s="1214"/>
      <c r="AA16" s="1214"/>
      <c r="AB16" s="1214"/>
      <c r="AC16" s="1215"/>
      <c r="AD16" s="2783"/>
      <c r="AE16" s="2783"/>
      <c r="AF16" s="2783"/>
      <c r="AG16" s="2783"/>
      <c r="AH16" s="2783"/>
      <c r="AI16" s="2783"/>
      <c r="AJ16" s="2784"/>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4"/>
      <c r="C18" s="3323"/>
      <c r="D18" s="3318" t="s">
        <v>3249</v>
      </c>
      <c r="E18" s="3324"/>
      <c r="F18" s="3319" t="s">
        <v>3252</v>
      </c>
      <c r="G18" s="3323">
        <f>ROUND(1-(1/(POWER(1+G24,E18))),4)</f>
        <v>0</v>
      </c>
      <c r="H18" s="3319" t="s">
        <v>3254</v>
      </c>
      <c r="I18" s="3323">
        <f>ROUND(1-(1/(POWER(1+G24,J24))),4)</f>
        <v>0</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30"/>
      <c r="B19" s="3331"/>
      <c r="C19" s="3332"/>
      <c r="D19" s="3332" t="s">
        <v>3250</v>
      </c>
      <c r="E19" s="3333"/>
      <c r="F19" s="3334" t="s">
        <v>3253</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78" t="s">
        <v>3255</v>
      </c>
      <c r="B20" s="167" t="s">
        <v>1992</v>
      </c>
      <c r="C20" s="3320" t="e">
        <f>ROUND(IF(F21="与级别开发程度一致",0,(G21-E21)/C21),0)</f>
        <v>#DIV/0!</v>
      </c>
      <c r="D20" s="3336" t="s">
        <v>1996</v>
      </c>
      <c r="E20" s="3337"/>
      <c r="F20" s="3784" t="s">
        <v>1993</v>
      </c>
      <c r="G20" s="3785"/>
      <c r="H20" s="3321"/>
      <c r="I20" s="3321"/>
      <c r="J20" s="3322"/>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15" thickBot="1">
      <c r="A21" s="3779"/>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1998</v>
      </c>
      <c r="C22" s="2158">
        <f>SUMIF(修正!C20:C51,E3,修正!E20:E51)</f>
        <v>0</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44965</v>
      </c>
      <c r="H23" s="3338" t="s">
        <v>3257</v>
      </c>
      <c r="I23" s="3339" t="str">
        <f>IF(H23="季度增幅（自定义）",SUMIF(N25:N28,E2,O25:O28),"")</f>
        <v/>
      </c>
      <c r="J23" s="3340" t="s">
        <v>3256</v>
      </c>
      <c r="K23" s="1123"/>
      <c r="L23" s="2053" t="s">
        <v>2002</v>
      </c>
      <c r="M23" s="1326">
        <f>ROUND(SUMIF(地价!B2:G2,E2,地价!B16:G16),0)</f>
        <v>0</v>
      </c>
      <c r="N23" s="2054" t="s">
        <v>2003</v>
      </c>
      <c r="O23" s="761">
        <f>ROUNDDOWN(DATEDIF(E23,G23,"M")/3,0)</f>
        <v>8</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3336</v>
      </c>
      <c r="C25" s="769">
        <f>IF(B25="容积率修正",IF(G3&lt;10,D26,J26),C27)</f>
        <v>0</v>
      </c>
      <c r="D25" s="2065"/>
      <c r="E25" s="2065"/>
      <c r="F25" s="2065"/>
      <c r="G25" s="2065"/>
      <c r="H25" s="2065"/>
      <c r="I25" s="2065"/>
      <c r="J25" s="2066"/>
      <c r="K25" s="1123"/>
      <c r="L25" s="2782"/>
      <c r="M25" s="2782"/>
      <c r="N25" s="2067" t="s">
        <v>2011</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1"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3259</v>
      </c>
      <c r="J26" s="770" t="str">
        <f>IF(G3&gt;=10,D115,"——")</f>
        <v>——</v>
      </c>
      <c r="K26" s="1123"/>
      <c r="L26" s="2782"/>
      <c r="M26" s="2782"/>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2"/>
      <c r="M28" s="2782"/>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9" t="s">
        <v>2021</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7" t="s">
        <v>1934</v>
      </c>
      <c r="M30" s="3348" t="s">
        <v>1988</v>
      </c>
      <c r="N30" s="3348" t="s">
        <v>1989</v>
      </c>
      <c r="O30" s="3348" t="s">
        <v>1990</v>
      </c>
      <c r="P30" s="3348" t="s">
        <v>1991</v>
      </c>
      <c r="Q30" s="3351"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9" t="s">
        <v>1994</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0" t="s">
        <v>1997</v>
      </c>
      <c r="M32" s="2565">
        <f>ROUND($E$24*(1+M31),3)</f>
        <v>5.3999999999999999E-2</v>
      </c>
      <c r="N32" s="2565">
        <f>ROUND($E$24*(1+N31),3)</f>
        <v>5.1999999999999998E-2</v>
      </c>
      <c r="O32" s="2565">
        <f>ROUND($E$24*(1+O31),3)</f>
        <v>0.05</v>
      </c>
      <c r="P32" s="2565">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2" t="s">
        <v>3261</v>
      </c>
      <c r="G33" s="2097"/>
      <c r="H33" s="2097"/>
      <c r="I33" s="2097"/>
      <c r="J33" s="2098"/>
      <c r="K33" s="1117"/>
      <c r="L33" s="3345" t="s">
        <v>3264</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5" t="s">
        <v>3265</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3"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3" t="s">
        <v>3266</v>
      </c>
      <c r="L36" s="3353">
        <v>3.6999999999999998E-2</v>
      </c>
      <c r="M36" s="3354">
        <f>ROUND($L$36*(1+M31),3)</f>
        <v>4.5999999999999999E-2</v>
      </c>
      <c r="N36" s="3354">
        <f>ROUND($L$36*(1+N31),3)</f>
        <v>4.3999999999999997E-2</v>
      </c>
      <c r="O36" s="3354">
        <f>ROUND($L$36*(1+O31),3)</f>
        <v>4.2999999999999997E-2</v>
      </c>
      <c r="P36" s="3354">
        <f>ROUND($L$36*(1+P31),3)</f>
        <v>4.1000000000000002E-2</v>
      </c>
      <c r="Q36" s="3354">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2"/>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6"/>
      <c r="K37" s="3355" t="s">
        <v>3267</v>
      </c>
      <c r="L37" s="3353">
        <f>L36+K38</f>
        <v>4.1999999999999996E-2</v>
      </c>
      <c r="M37" s="3354">
        <f>ROUND($L$37*(1+M31),3)</f>
        <v>5.2999999999999999E-2</v>
      </c>
      <c r="N37" s="3354">
        <f t="shared" ref="N37:Q37" si="3">ROUND($L$37*(1+N31),3)</f>
        <v>0.05</v>
      </c>
      <c r="O37" s="3354">
        <f t="shared" si="3"/>
        <v>4.8000000000000001E-2</v>
      </c>
      <c r="P37" s="3354">
        <f t="shared" si="3"/>
        <v>4.5999999999999999E-2</v>
      </c>
      <c r="Q37" s="3354">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3"/>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83"/>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5" t="s">
        <v>3270</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5" t="s">
        <v>3270</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5" t="s">
        <v>3270</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3">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3">
        <v>0.3</v>
      </c>
      <c r="J84" s="1062">
        <f t="shared" si="24"/>
        <v>0</v>
      </c>
      <c r="K84" s="1062">
        <f t="shared" si="25"/>
        <v>0</v>
      </c>
      <c r="L84" s="1062">
        <v>0</v>
      </c>
      <c r="M84" s="1062">
        <f t="shared" si="26"/>
        <v>0</v>
      </c>
      <c r="N84" s="1062">
        <f t="shared" si="26"/>
        <v>0</v>
      </c>
      <c r="Z84" s="1996"/>
      <c r="AA84" s="2051"/>
      <c r="AG84" s="1119"/>
      <c r="AK84" s="2051"/>
    </row>
    <row r="85" spans="1:37" ht="36">
      <c r="A85" s="3365" t="s">
        <v>3271</v>
      </c>
      <c r="B85" s="2132">
        <f>估价对象房地状况!G17</f>
        <v>0</v>
      </c>
      <c r="C85" s="2042"/>
      <c r="D85" s="1063">
        <f t="shared" si="22"/>
        <v>0</v>
      </c>
      <c r="E85" s="745"/>
      <c r="F85" s="1812"/>
      <c r="G85" s="1061"/>
      <c r="H85" s="1064" t="str">
        <f t="shared" si="23"/>
        <v>——</v>
      </c>
      <c r="I85" s="3363">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3">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3">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3">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3">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4">
        <v>0.05</v>
      </c>
      <c r="J90" s="1062">
        <f t="shared" si="24"/>
        <v>0</v>
      </c>
      <c r="K90" s="1062">
        <f t="shared" si="25"/>
        <v>0</v>
      </c>
      <c r="L90" s="1062">
        <v>0</v>
      </c>
      <c r="M90" s="1062">
        <f t="shared" si="26"/>
        <v>0</v>
      </c>
      <c r="N90" s="1062">
        <f t="shared" si="26"/>
        <v>0</v>
      </c>
    </row>
    <row r="91" spans="1:37" ht="15">
      <c r="A91" s="3373" t="s">
        <v>2607</v>
      </c>
      <c r="B91" s="3374">
        <f>1+E93</f>
        <v>1</v>
      </c>
      <c r="C91" s="3367"/>
      <c r="D91" s="3368"/>
      <c r="E91" s="1812"/>
      <c r="F91" s="1812"/>
      <c r="G91" s="3369"/>
      <c r="H91" s="3370"/>
      <c r="I91" s="3371"/>
      <c r="J91" s="3372"/>
      <c r="K91" s="3372"/>
      <c r="L91" s="3372"/>
      <c r="M91" s="3372"/>
      <c r="N91" s="3372"/>
    </row>
    <row r="92" spans="1:37" ht="24.75">
      <c r="A92" s="3375" t="s">
        <v>3272</v>
      </c>
      <c r="B92" s="3362"/>
      <c r="C92" s="3362" t="s">
        <v>3281</v>
      </c>
      <c r="D92" s="3362" t="s">
        <v>3282</v>
      </c>
      <c r="E92" s="3344" t="s">
        <v>3283</v>
      </c>
      <c r="F92" s="3377" t="s">
        <v>3284</v>
      </c>
      <c r="G92" s="3362" t="s">
        <v>3285</v>
      </c>
      <c r="H92" s="3384" t="s">
        <v>3288</v>
      </c>
      <c r="I92" s="3362" t="s">
        <v>3289</v>
      </c>
      <c r="J92" s="3385" t="s">
        <v>3290</v>
      </c>
      <c r="K92" s="3385" t="s">
        <v>3291</v>
      </c>
      <c r="L92" s="3385" t="s">
        <v>3292</v>
      </c>
      <c r="M92" s="3385" t="s">
        <v>3293</v>
      </c>
      <c r="N92" s="3385" t="s">
        <v>3294</v>
      </c>
    </row>
    <row r="93" spans="1:37" ht="24">
      <c r="A93" s="3365" t="s">
        <v>3273</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1">
      <c r="A94" s="3375" t="s">
        <v>3274</v>
      </c>
      <c r="B94" s="3366" t="str">
        <f>估价对象房地状况!C18</f>
        <v>周边有75、110、420路及地铁2号、6号线，周边道路密集，停车便捷程度，综合评价交通便捷度好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3270</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3275</v>
      </c>
      <c r="B96" s="3381" t="s">
        <v>3286</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3276</v>
      </c>
      <c r="B97" s="3366" t="str">
        <f>估价对象房地状况!C24</f>
        <v>城市主干道——朝阳门外大街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3277</v>
      </c>
      <c r="B98" s="3382" t="s">
        <v>3287</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51">
      <c r="A99" s="3375" t="s">
        <v>3278</v>
      </c>
      <c r="B99" s="3366" t="str">
        <f>估价对象房地状况!C21</f>
        <v>估价对象所在区域银行、购物场所、学校等公共配套设施齐备，综合评价公共配套设施水平好。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3279</v>
      </c>
      <c r="B100" s="3366" t="str">
        <f>估价对象房地状况!C22</f>
        <v>估价对象所在区域基础设施水平“七通一平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3280</v>
      </c>
      <c r="B101" s="3383" t="str">
        <f>估价对象房地状况!C20</f>
        <v>区域内有东城职业大学、日坛公园、富国海底世界等自然及人文环境，综合评价自然及人文环境状况较好。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0" t="s">
        <v>3295</v>
      </c>
      <c r="B103" s="3780"/>
      <c r="C103" s="3780"/>
      <c r="D103" s="3780"/>
      <c r="E103" s="3780"/>
      <c r="F103" s="3780"/>
      <c r="G103" s="3780"/>
      <c r="H103" s="3780"/>
      <c r="I103" s="3780"/>
      <c r="J103" s="3780"/>
      <c r="K103" s="3386"/>
      <c r="L103" s="3386"/>
      <c r="M103" s="3386"/>
      <c r="N103" s="3386"/>
    </row>
    <row r="104" spans="1:14">
      <c r="A104" s="3781" t="s">
        <v>3296</v>
      </c>
      <c r="B104" s="3781" t="s">
        <v>3297</v>
      </c>
      <c r="C104" s="3387" t="s">
        <v>3298</v>
      </c>
      <c r="D104" s="3388"/>
      <c r="E104" s="3388"/>
      <c r="F104" s="3388"/>
      <c r="G104" s="3388"/>
      <c r="H104" s="3388"/>
      <c r="I104" s="3388"/>
      <c r="J104" s="3389"/>
      <c r="K104" s="3390"/>
      <c r="L104" s="3390"/>
      <c r="M104" s="3390"/>
      <c r="N104" s="3390"/>
    </row>
    <row r="105" spans="1:14">
      <c r="A105" s="3781"/>
      <c r="B105" s="3781"/>
      <c r="C105" s="3391" t="s">
        <v>3299</v>
      </c>
      <c r="D105" s="3391" t="s">
        <v>3300</v>
      </c>
      <c r="E105" s="3391" t="s">
        <v>3301</v>
      </c>
      <c r="F105" s="3391" t="s">
        <v>3302</v>
      </c>
      <c r="G105" s="3391" t="s">
        <v>3303</v>
      </c>
      <c r="H105" s="3391" t="s">
        <v>3304</v>
      </c>
      <c r="I105" s="3391" t="s">
        <v>3305</v>
      </c>
      <c r="J105" s="3391" t="s">
        <v>3306</v>
      </c>
      <c r="K105" s="3391" t="s">
        <v>3307</v>
      </c>
      <c r="L105" s="3391" t="s">
        <v>3308</v>
      </c>
      <c r="M105" s="3391" t="s">
        <v>3309</v>
      </c>
      <c r="N105" s="3391" t="s">
        <v>3310</v>
      </c>
    </row>
    <row r="106" spans="1:14">
      <c r="A106" s="3767" t="s">
        <v>3311</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8"/>
      <c r="B111" s="3391" t="s">
        <v>3269</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0" t="s">
        <v>3312</v>
      </c>
      <c r="B113" s="3770"/>
      <c r="C113" s="3770"/>
      <c r="D113" s="3770"/>
      <c r="E113" s="3770"/>
      <c r="F113" s="3770"/>
      <c r="G113" s="3770"/>
      <c r="H113" s="3770"/>
      <c r="I113" s="3770"/>
      <c r="J113" s="377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3313</v>
      </c>
      <c r="B116" s="3412">
        <f>G3</f>
        <v>0</v>
      </c>
      <c r="C116" s="3396" t="s">
        <v>3314</v>
      </c>
      <c r="D116" s="3397">
        <f>SUMPRODUCT((A118:A122=F116)*(B117:M117=H116)*B118:M122)</f>
        <v>0</v>
      </c>
      <c r="E116" s="1998" t="s">
        <v>3315</v>
      </c>
      <c r="F116" s="3398">
        <f>E2</f>
        <v>0</v>
      </c>
      <c r="G116" s="1998" t="s">
        <v>3316</v>
      </c>
      <c r="H116" s="3398">
        <f>G2</f>
        <v>0</v>
      </c>
      <c r="I116" s="1998"/>
      <c r="J116" s="3399"/>
      <c r="K116" s="3399"/>
      <c r="L116" s="3399"/>
      <c r="M116" s="3399"/>
      <c r="N116" s="3394"/>
    </row>
    <row r="117" spans="1:14">
      <c r="A117" s="3400"/>
      <c r="B117" s="3401" t="s">
        <v>3317</v>
      </c>
      <c r="C117" s="3401" t="s">
        <v>3318</v>
      </c>
      <c r="D117" s="3401" t="s">
        <v>3319</v>
      </c>
      <c r="E117" s="3402" t="s">
        <v>3320</v>
      </c>
      <c r="F117" s="3402" t="s">
        <v>3321</v>
      </c>
      <c r="G117" s="3402" t="s">
        <v>3322</v>
      </c>
      <c r="H117" s="3403" t="s">
        <v>3323</v>
      </c>
      <c r="I117" s="3403" t="s">
        <v>3324</v>
      </c>
      <c r="J117" s="3404" t="s">
        <v>3325</v>
      </c>
      <c r="K117" s="3404" t="s">
        <v>3326</v>
      </c>
      <c r="L117" s="3404" t="s">
        <v>3327</v>
      </c>
      <c r="M117" s="3405" t="s">
        <v>3328</v>
      </c>
      <c r="N117" s="3394"/>
    </row>
    <row r="118" spans="1:14">
      <c r="A118" s="3406" t="s">
        <v>3329</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3330</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3331</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3332</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2607</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93" t="s">
        <v>2602</v>
      </c>
      <c r="B20" s="3786" t="s">
        <v>2623</v>
      </c>
      <c r="C20" s="3097" t="s">
        <v>2434</v>
      </c>
      <c r="D20" s="3098"/>
      <c r="E20" s="3099">
        <v>1</v>
      </c>
      <c r="F20" s="3100" t="s">
        <v>2435</v>
      </c>
      <c r="G20" s="3100"/>
    </row>
    <row r="21" spans="1:13" ht="19.5" customHeight="1">
      <c r="A21" s="3794"/>
      <c r="B21" s="3787"/>
      <c r="C21" s="3101" t="s">
        <v>2436</v>
      </c>
      <c r="D21" s="3102"/>
      <c r="E21" s="3103">
        <v>1</v>
      </c>
      <c r="F21" s="3100" t="s">
        <v>2437</v>
      </c>
      <c r="G21" s="3100"/>
    </row>
    <row r="22" spans="1:13" ht="19.5" customHeight="1">
      <c r="A22" s="3794"/>
      <c r="B22" s="3787"/>
      <c r="C22" s="3101" t="s">
        <v>2438</v>
      </c>
      <c r="D22" s="3102"/>
      <c r="E22" s="3103">
        <v>0.9</v>
      </c>
      <c r="F22" s="3100" t="s">
        <v>2439</v>
      </c>
      <c r="G22" s="3100"/>
    </row>
    <row r="23" spans="1:13" ht="19.5" customHeight="1">
      <c r="A23" s="3794"/>
      <c r="B23" s="3787"/>
      <c r="C23" s="3101" t="s">
        <v>2440</v>
      </c>
      <c r="D23" s="3102"/>
      <c r="E23" s="3103">
        <v>0.9</v>
      </c>
      <c r="F23" s="3100" t="s">
        <v>2441</v>
      </c>
      <c r="G23" s="3100"/>
    </row>
    <row r="24" spans="1:13" ht="19.5" customHeight="1">
      <c r="A24" s="3794"/>
      <c r="B24" s="3787"/>
      <c r="C24" s="3101" t="s">
        <v>2442</v>
      </c>
      <c r="D24" s="3102"/>
      <c r="E24" s="3103">
        <v>0.8</v>
      </c>
      <c r="F24" s="3100" t="s">
        <v>2443</v>
      </c>
      <c r="G24" s="3100"/>
    </row>
    <row r="25" spans="1:13" ht="19.5" customHeight="1" thickBot="1">
      <c r="A25" s="3795"/>
      <c r="B25" s="3788"/>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89" t="s">
        <v>2626</v>
      </c>
      <c r="B27" s="3786" t="s">
        <v>2607</v>
      </c>
      <c r="C27" s="3097" t="s">
        <v>2447</v>
      </c>
      <c r="D27" s="3098"/>
      <c r="E27" s="3099">
        <v>1</v>
      </c>
      <c r="F27" s="3100" t="s">
        <v>2448</v>
      </c>
      <c r="G27" s="3100"/>
    </row>
    <row r="28" spans="1:13" ht="19.5" customHeight="1">
      <c r="A28" s="3790"/>
      <c r="B28" s="3787"/>
      <c r="C28" s="3101" t="s">
        <v>2449</v>
      </c>
      <c r="D28" s="3102"/>
      <c r="E28" s="3103">
        <v>1</v>
      </c>
      <c r="F28" s="3100" t="s">
        <v>2450</v>
      </c>
      <c r="G28" s="3100"/>
    </row>
    <row r="29" spans="1:13" ht="19.5" customHeight="1">
      <c r="A29" s="3790"/>
      <c r="B29" s="3787"/>
      <c r="C29" s="3101" t="s">
        <v>2451</v>
      </c>
      <c r="D29" s="3102"/>
      <c r="E29" s="3103">
        <v>0.8</v>
      </c>
      <c r="F29" s="3100" t="s">
        <v>2452</v>
      </c>
      <c r="G29" s="3100"/>
    </row>
    <row r="30" spans="1:13" ht="19.5" customHeight="1">
      <c r="A30" s="3790"/>
      <c r="B30" s="3787"/>
      <c r="C30" s="3101" t="s">
        <v>2453</v>
      </c>
      <c r="D30" s="3102"/>
      <c r="E30" s="3103">
        <v>0.8</v>
      </c>
      <c r="F30" s="3100" t="s">
        <v>2454</v>
      </c>
      <c r="G30" s="3100"/>
    </row>
    <row r="31" spans="1:13" ht="19.5" customHeight="1">
      <c r="A31" s="3790"/>
      <c r="B31" s="3787"/>
      <c r="C31" s="3101" t="s">
        <v>2455</v>
      </c>
      <c r="D31" s="3102"/>
      <c r="E31" s="3103">
        <v>0.8</v>
      </c>
      <c r="F31" s="3100" t="s">
        <v>2456</v>
      </c>
      <c r="G31" s="3100"/>
    </row>
    <row r="32" spans="1:13" ht="19.5" customHeight="1">
      <c r="A32" s="3790"/>
      <c r="B32" s="3787"/>
      <c r="C32" s="3101" t="s">
        <v>2457</v>
      </c>
      <c r="D32" s="3102"/>
      <c r="E32" s="3103">
        <v>0.7</v>
      </c>
      <c r="F32" s="3100" t="s">
        <v>2458</v>
      </c>
      <c r="G32" s="3100"/>
    </row>
    <row r="33" spans="1:7" ht="19.5" customHeight="1">
      <c r="A33" s="3790"/>
      <c r="B33" s="3787"/>
      <c r="C33" s="3101" t="s">
        <v>2459</v>
      </c>
      <c r="D33" s="3102"/>
      <c r="E33" s="3103">
        <v>0.8</v>
      </c>
      <c r="F33" s="3100" t="s">
        <v>2460</v>
      </c>
      <c r="G33" s="3100"/>
    </row>
    <row r="34" spans="1:7" ht="19.5" customHeight="1">
      <c r="A34" s="3790"/>
      <c r="B34" s="3787"/>
      <c r="C34" s="3101" t="s">
        <v>2461</v>
      </c>
      <c r="D34" s="3102"/>
      <c r="E34" s="3103">
        <v>0.6</v>
      </c>
      <c r="F34" s="3100" t="s">
        <v>2462</v>
      </c>
      <c r="G34" s="3100"/>
    </row>
    <row r="35" spans="1:7" ht="19.5" customHeight="1">
      <c r="A35" s="3790"/>
      <c r="B35" s="3787"/>
      <c r="C35" s="3101" t="s">
        <v>2463</v>
      </c>
      <c r="D35" s="3102"/>
      <c r="E35" s="3103">
        <v>0.2</v>
      </c>
      <c r="F35" s="3100" t="s">
        <v>2464</v>
      </c>
      <c r="G35" s="3100"/>
    </row>
    <row r="36" spans="1:7" ht="19.5" customHeight="1">
      <c r="A36" s="3790"/>
      <c r="B36" s="3787"/>
      <c r="C36" s="3101" t="s">
        <v>2465</v>
      </c>
      <c r="D36" s="3102"/>
      <c r="E36" s="3103">
        <v>0.2</v>
      </c>
      <c r="F36" s="3100" t="s">
        <v>2466</v>
      </c>
      <c r="G36" s="3100"/>
    </row>
    <row r="37" spans="1:7" ht="19.5" customHeight="1">
      <c r="A37" s="3790"/>
      <c r="B37" s="3792" t="s">
        <v>2627</v>
      </c>
      <c r="C37" s="3101" t="s">
        <v>2467</v>
      </c>
      <c r="D37" s="3102"/>
      <c r="E37" s="3103">
        <v>0.6</v>
      </c>
      <c r="F37" s="3100" t="s">
        <v>2468</v>
      </c>
      <c r="G37" s="3100"/>
    </row>
    <row r="38" spans="1:7" ht="19.5" customHeight="1">
      <c r="A38" s="3790"/>
      <c r="B38" s="3787"/>
      <c r="C38" s="3101" t="s">
        <v>2469</v>
      </c>
      <c r="D38" s="3102"/>
      <c r="E38" s="3103">
        <v>0.6</v>
      </c>
      <c r="F38" s="3100" t="s">
        <v>2470</v>
      </c>
      <c r="G38" s="3100"/>
    </row>
    <row r="39" spans="1:7" ht="19.5" customHeight="1" thickBot="1">
      <c r="A39" s="3791"/>
      <c r="B39" s="3788"/>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93" t="s">
        <v>2605</v>
      </c>
      <c r="B41" s="3786" t="s">
        <v>2629</v>
      </c>
      <c r="C41" s="3097" t="s">
        <v>2474</v>
      </c>
      <c r="D41" s="3098"/>
      <c r="E41" s="3099">
        <v>1</v>
      </c>
      <c r="F41" s="3100" t="s">
        <v>2475</v>
      </c>
      <c r="G41" s="3100"/>
    </row>
    <row r="42" spans="1:7" ht="19.5" customHeight="1">
      <c r="A42" s="3794"/>
      <c r="B42" s="3787"/>
      <c r="C42" s="3101" t="s">
        <v>2476</v>
      </c>
      <c r="D42" s="3102"/>
      <c r="E42" s="3103">
        <v>1</v>
      </c>
      <c r="F42" s="3100" t="s">
        <v>2477</v>
      </c>
      <c r="G42" s="3100"/>
    </row>
    <row r="43" spans="1:7" ht="19.5" customHeight="1">
      <c r="A43" s="3794"/>
      <c r="B43" s="3796"/>
      <c r="C43" s="3101" t="s">
        <v>2478</v>
      </c>
      <c r="D43" s="3102"/>
      <c r="E43" s="3103">
        <v>1.5</v>
      </c>
      <c r="F43" s="3100" t="s">
        <v>2479</v>
      </c>
      <c r="G43" s="3100"/>
    </row>
    <row r="44" spans="1:7" ht="19.5" customHeight="1">
      <c r="A44" s="3794"/>
      <c r="B44" s="3112" t="s">
        <v>2630</v>
      </c>
      <c r="C44" s="3101" t="s">
        <v>2631</v>
      </c>
      <c r="D44" s="3102"/>
      <c r="E44" s="3103">
        <v>2</v>
      </c>
      <c r="F44" s="3100" t="s">
        <v>2480</v>
      </c>
      <c r="G44" s="3100"/>
    </row>
    <row r="45" spans="1:7" ht="19.5" customHeight="1">
      <c r="A45" s="3794"/>
      <c r="B45" s="3792" t="s">
        <v>2632</v>
      </c>
      <c r="C45" s="3101" t="s">
        <v>2481</v>
      </c>
      <c r="D45" s="3102"/>
      <c r="E45" s="3103">
        <v>1</v>
      </c>
      <c r="F45" s="3100" t="s">
        <v>2482</v>
      </c>
      <c r="G45" s="3100"/>
    </row>
    <row r="46" spans="1:7" ht="19.5" customHeight="1">
      <c r="A46" s="3794"/>
      <c r="B46" s="3787"/>
      <c r="C46" s="3101" t="s">
        <v>2483</v>
      </c>
      <c r="D46" s="3102"/>
      <c r="E46" s="3103">
        <v>1</v>
      </c>
      <c r="F46" s="3100" t="s">
        <v>2484</v>
      </c>
      <c r="G46" s="3100"/>
    </row>
    <row r="47" spans="1:7" ht="19.5" customHeight="1">
      <c r="A47" s="3794"/>
      <c r="B47" s="3787"/>
      <c r="C47" s="3101" t="s">
        <v>2485</v>
      </c>
      <c r="D47" s="3102"/>
      <c r="E47" s="3103">
        <v>1</v>
      </c>
      <c r="F47" s="3100" t="s">
        <v>2486</v>
      </c>
      <c r="G47" s="3100"/>
    </row>
    <row r="48" spans="1:7" ht="19.5" customHeight="1">
      <c r="A48" s="3794"/>
      <c r="B48" s="3787"/>
      <c r="C48" s="3101" t="s">
        <v>2487</v>
      </c>
      <c r="D48" s="3102"/>
      <c r="E48" s="3103">
        <v>1</v>
      </c>
      <c r="F48" s="3100" t="s">
        <v>2488</v>
      </c>
      <c r="G48" s="3100"/>
    </row>
    <row r="49" spans="1:7" ht="19.5" customHeight="1">
      <c r="A49" s="3794"/>
      <c r="B49" s="3787"/>
      <c r="C49" s="3101" t="s">
        <v>2489</v>
      </c>
      <c r="D49" s="3102"/>
      <c r="E49" s="3103">
        <v>1</v>
      </c>
      <c r="F49" s="3100" t="s">
        <v>2490</v>
      </c>
      <c r="G49" s="3100"/>
    </row>
    <row r="50" spans="1:7" ht="19.5" customHeight="1">
      <c r="A50" s="3794"/>
      <c r="B50" s="3787"/>
      <c r="C50" s="3101" t="s">
        <v>2491</v>
      </c>
      <c r="D50" s="3102"/>
      <c r="E50" s="3103">
        <v>1</v>
      </c>
      <c r="F50" s="3100" t="s">
        <v>2492</v>
      </c>
      <c r="G50" s="3100"/>
    </row>
    <row r="51" spans="1:7" ht="19.5" customHeight="1" thickBot="1">
      <c r="A51" s="3795"/>
      <c r="B51" s="3788"/>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92" t="s">
        <v>2646</v>
      </c>
      <c r="C73" s="3086" t="s">
        <v>2647</v>
      </c>
      <c r="D73" s="3086" t="s">
        <v>2648</v>
      </c>
      <c r="E73" s="3112">
        <v>0.2</v>
      </c>
      <c r="F73" s="3112">
        <v>25</v>
      </c>
    </row>
    <row r="74" spans="1:7" ht="24">
      <c r="A74" s="3112">
        <v>2</v>
      </c>
      <c r="B74" s="3787"/>
      <c r="C74" s="3086" t="s">
        <v>2649</v>
      </c>
      <c r="D74" s="3086" t="s">
        <v>2650</v>
      </c>
      <c r="E74" s="3112">
        <v>0.2</v>
      </c>
      <c r="F74" s="3112">
        <v>25</v>
      </c>
    </row>
    <row r="75" spans="1:7" ht="24">
      <c r="A75" s="3112">
        <v>3</v>
      </c>
      <c r="B75" s="3787"/>
      <c r="C75" s="3086" t="s">
        <v>2651</v>
      </c>
      <c r="D75" s="3086" t="s">
        <v>2652</v>
      </c>
      <c r="E75" s="3112">
        <v>0.2</v>
      </c>
      <c r="F75" s="3112">
        <v>25</v>
      </c>
    </row>
    <row r="76" spans="1:7" ht="13.5">
      <c r="A76" s="3112">
        <v>4</v>
      </c>
      <c r="B76" s="3787"/>
      <c r="C76" s="3086" t="s">
        <v>2653</v>
      </c>
      <c r="D76" s="3086" t="s">
        <v>2654</v>
      </c>
      <c r="E76" s="3112">
        <v>0.15</v>
      </c>
      <c r="F76" s="3112">
        <v>20</v>
      </c>
    </row>
    <row r="77" spans="1:7" ht="24">
      <c r="A77" s="3112">
        <v>5</v>
      </c>
      <c r="B77" s="3787"/>
      <c r="C77" s="3086" t="s">
        <v>2655</v>
      </c>
      <c r="D77" s="3086" t="s">
        <v>2656</v>
      </c>
      <c r="E77" s="3112">
        <v>0.15</v>
      </c>
      <c r="F77" s="3112">
        <v>20</v>
      </c>
    </row>
    <row r="78" spans="1:7" ht="24">
      <c r="A78" s="3112">
        <v>6</v>
      </c>
      <c r="B78" s="3787"/>
      <c r="C78" s="3086" t="s">
        <v>2657</v>
      </c>
      <c r="D78" s="3086" t="s">
        <v>2658</v>
      </c>
      <c r="E78" s="3112">
        <v>0.15</v>
      </c>
      <c r="F78" s="3112">
        <v>20</v>
      </c>
    </row>
    <row r="79" spans="1:7" ht="24">
      <c r="A79" s="3112">
        <v>7</v>
      </c>
      <c r="B79" s="3787"/>
      <c r="C79" s="3086" t="s">
        <v>2659</v>
      </c>
      <c r="D79" s="3086" t="s">
        <v>2660</v>
      </c>
      <c r="E79" s="3112">
        <v>0.15</v>
      </c>
      <c r="F79" s="3112">
        <v>20</v>
      </c>
    </row>
    <row r="80" spans="1:7" ht="24">
      <c r="A80" s="3112">
        <v>8</v>
      </c>
      <c r="B80" s="3787"/>
      <c r="C80" s="3086" t="s">
        <v>2661</v>
      </c>
      <c r="D80" s="3086" t="s">
        <v>2662</v>
      </c>
      <c r="E80" s="3112">
        <v>0.1</v>
      </c>
      <c r="F80" s="3112">
        <v>15</v>
      </c>
    </row>
    <row r="81" spans="1:6" ht="24">
      <c r="A81" s="3112">
        <v>9</v>
      </c>
      <c r="B81" s="3787"/>
      <c r="C81" s="3086" t="s">
        <v>2663</v>
      </c>
      <c r="D81" s="3086" t="s">
        <v>2664</v>
      </c>
      <c r="E81" s="3112">
        <v>0.1</v>
      </c>
      <c r="F81" s="3112">
        <v>15</v>
      </c>
    </row>
    <row r="82" spans="1:6" ht="24">
      <c r="A82" s="3112">
        <v>10</v>
      </c>
      <c r="B82" s="3787"/>
      <c r="C82" s="3086" t="s">
        <v>2665</v>
      </c>
      <c r="D82" s="3086" t="s">
        <v>2666</v>
      </c>
      <c r="E82" s="3112">
        <v>0.1</v>
      </c>
      <c r="F82" s="3112">
        <v>15</v>
      </c>
    </row>
    <row r="83" spans="1:6" ht="24">
      <c r="A83" s="3112">
        <v>11</v>
      </c>
      <c r="B83" s="3787"/>
      <c r="C83" s="3086" t="s">
        <v>2667</v>
      </c>
      <c r="D83" s="3086" t="s">
        <v>2668</v>
      </c>
      <c r="E83" s="3112">
        <v>0.1</v>
      </c>
      <c r="F83" s="3112">
        <v>15</v>
      </c>
    </row>
    <row r="84" spans="1:6" ht="24">
      <c r="A84" s="3112">
        <v>12</v>
      </c>
      <c r="B84" s="3787"/>
      <c r="C84" s="3086" t="s">
        <v>2669</v>
      </c>
      <c r="D84" s="3086" t="s">
        <v>2670</v>
      </c>
      <c r="E84" s="3112">
        <v>0.1</v>
      </c>
      <c r="F84" s="3112">
        <v>15</v>
      </c>
    </row>
    <row r="85" spans="1:6" ht="13.5">
      <c r="A85" s="3112">
        <v>13</v>
      </c>
      <c r="B85" s="3787"/>
      <c r="C85" s="3086" t="s">
        <v>2671</v>
      </c>
      <c r="D85" s="3086" t="s">
        <v>2672</v>
      </c>
      <c r="E85" s="3112">
        <v>0.1</v>
      </c>
      <c r="F85" s="3112">
        <v>15</v>
      </c>
    </row>
    <row r="86" spans="1:6" ht="13.5">
      <c r="A86" s="3112">
        <v>14</v>
      </c>
      <c r="B86" s="3787"/>
      <c r="C86" s="3086" t="s">
        <v>2673</v>
      </c>
      <c r="D86" s="3086" t="s">
        <v>2674</v>
      </c>
      <c r="E86" s="3112">
        <v>0.1</v>
      </c>
      <c r="F86" s="3112">
        <v>15</v>
      </c>
    </row>
    <row r="87" spans="1:6" ht="13.5">
      <c r="A87" s="3112">
        <v>15</v>
      </c>
      <c r="B87" s="3787"/>
      <c r="C87" s="3086" t="s">
        <v>2675</v>
      </c>
      <c r="D87" s="3086" t="s">
        <v>2676</v>
      </c>
      <c r="E87" s="3112">
        <v>0.1</v>
      </c>
      <c r="F87" s="3112">
        <v>15</v>
      </c>
    </row>
    <row r="88" spans="1:6" ht="24">
      <c r="A88" s="3112">
        <v>16</v>
      </c>
      <c r="B88" s="3787"/>
      <c r="C88" s="3086" t="s">
        <v>2677</v>
      </c>
      <c r="D88" s="3086" t="s">
        <v>2678</v>
      </c>
      <c r="E88" s="3112">
        <v>0.1</v>
      </c>
      <c r="F88" s="3112">
        <v>15</v>
      </c>
    </row>
    <row r="89" spans="1:6" ht="24">
      <c r="A89" s="3112">
        <v>17</v>
      </c>
      <c r="B89" s="3796"/>
      <c r="C89" s="3086" t="s">
        <v>2679</v>
      </c>
      <c r="D89" s="3086" t="s">
        <v>2680</v>
      </c>
      <c r="E89" s="3112">
        <v>0.1</v>
      </c>
      <c r="F89" s="3112">
        <v>15</v>
      </c>
    </row>
    <row r="90" spans="1:6" ht="13.5">
      <c r="A90" s="3112">
        <v>18</v>
      </c>
      <c r="B90" s="3792" t="s">
        <v>2681</v>
      </c>
      <c r="C90" s="3086" t="s">
        <v>2682</v>
      </c>
      <c r="D90" s="3086" t="s">
        <v>2683</v>
      </c>
      <c r="E90" s="3112">
        <v>0.2</v>
      </c>
      <c r="F90" s="3112">
        <v>25</v>
      </c>
    </row>
    <row r="91" spans="1:6" ht="24">
      <c r="A91" s="3112">
        <v>19</v>
      </c>
      <c r="B91" s="3787"/>
      <c r="C91" s="3086" t="s">
        <v>2684</v>
      </c>
      <c r="D91" s="3086" t="s">
        <v>2685</v>
      </c>
      <c r="E91" s="3112">
        <v>0.2</v>
      </c>
      <c r="F91" s="3112">
        <v>25</v>
      </c>
    </row>
    <row r="92" spans="1:6" ht="13.5">
      <c r="A92" s="3112">
        <v>20</v>
      </c>
      <c r="B92" s="3787"/>
      <c r="C92" s="3086" t="s">
        <v>2686</v>
      </c>
      <c r="D92" s="3086" t="s">
        <v>2687</v>
      </c>
      <c r="E92" s="3112">
        <v>0.15</v>
      </c>
      <c r="F92" s="3112">
        <v>20</v>
      </c>
    </row>
    <row r="93" spans="1:6" ht="13.5">
      <c r="A93" s="3112">
        <v>21</v>
      </c>
      <c r="B93" s="3787"/>
      <c r="C93" s="3086" t="s">
        <v>2688</v>
      </c>
      <c r="D93" s="3086" t="s">
        <v>2689</v>
      </c>
      <c r="E93" s="3112">
        <v>0.15</v>
      </c>
      <c r="F93" s="3112">
        <v>20</v>
      </c>
    </row>
    <row r="94" spans="1:6" ht="13.5">
      <c r="A94" s="3112">
        <v>22</v>
      </c>
      <c r="B94" s="3787"/>
      <c r="C94" s="3086" t="s">
        <v>2690</v>
      </c>
      <c r="D94" s="3086" t="s">
        <v>2691</v>
      </c>
      <c r="E94" s="3112">
        <v>0.15</v>
      </c>
      <c r="F94" s="3112">
        <v>20</v>
      </c>
    </row>
    <row r="95" spans="1:6" ht="36">
      <c r="A95" s="3112">
        <v>23</v>
      </c>
      <c r="B95" s="3787"/>
      <c r="C95" s="3086" t="s">
        <v>2692</v>
      </c>
      <c r="D95" s="3086" t="s">
        <v>2693</v>
      </c>
      <c r="E95" s="3112">
        <v>0.15</v>
      </c>
      <c r="F95" s="3112">
        <v>20</v>
      </c>
    </row>
    <row r="96" spans="1:6" ht="13.5">
      <c r="A96" s="3112">
        <v>24</v>
      </c>
      <c r="B96" s="3787"/>
      <c r="C96" s="3086" t="s">
        <v>2694</v>
      </c>
      <c r="D96" s="3086" t="s">
        <v>2695</v>
      </c>
      <c r="E96" s="3112">
        <v>0.1</v>
      </c>
      <c r="F96" s="3112">
        <v>15</v>
      </c>
    </row>
    <row r="97" spans="1:6" ht="13.5">
      <c r="A97" s="3112">
        <v>25</v>
      </c>
      <c r="B97" s="3787"/>
      <c r="C97" s="3086" t="s">
        <v>2696</v>
      </c>
      <c r="D97" s="3086" t="s">
        <v>2697</v>
      </c>
      <c r="E97" s="3112">
        <v>0.1</v>
      </c>
      <c r="F97" s="3112">
        <v>15</v>
      </c>
    </row>
    <row r="98" spans="1:6" ht="24">
      <c r="A98" s="3112">
        <v>26</v>
      </c>
      <c r="B98" s="3787"/>
      <c r="C98" s="3086" t="s">
        <v>2698</v>
      </c>
      <c r="D98" s="3086" t="s">
        <v>2699</v>
      </c>
      <c r="E98" s="3112">
        <v>0.1</v>
      </c>
      <c r="F98" s="3112">
        <v>15</v>
      </c>
    </row>
    <row r="99" spans="1:6" ht="24">
      <c r="A99" s="3112">
        <v>27</v>
      </c>
      <c r="B99" s="3787"/>
      <c r="C99" s="3086" t="s">
        <v>2700</v>
      </c>
      <c r="D99" s="3086" t="s">
        <v>2701</v>
      </c>
      <c r="E99" s="3112">
        <v>0.1</v>
      </c>
      <c r="F99" s="3112">
        <v>15</v>
      </c>
    </row>
    <row r="100" spans="1:6" ht="13.5">
      <c r="A100" s="3112">
        <v>28</v>
      </c>
      <c r="B100" s="3787"/>
      <c r="C100" s="3086" t="s">
        <v>2702</v>
      </c>
      <c r="D100" s="3086" t="s">
        <v>2703</v>
      </c>
      <c r="E100" s="3112">
        <v>0.1</v>
      </c>
      <c r="F100" s="3112">
        <v>15</v>
      </c>
    </row>
    <row r="101" spans="1:6" ht="13.5">
      <c r="A101" s="3112">
        <v>29</v>
      </c>
      <c r="B101" s="3787"/>
      <c r="C101" s="3086" t="s">
        <v>2704</v>
      </c>
      <c r="D101" s="3086" t="s">
        <v>2705</v>
      </c>
      <c r="E101" s="3112">
        <v>0.1</v>
      </c>
      <c r="F101" s="3112">
        <v>15</v>
      </c>
    </row>
    <row r="102" spans="1:6" ht="13.5">
      <c r="A102" s="3112">
        <v>30</v>
      </c>
      <c r="B102" s="3787"/>
      <c r="C102" s="3086" t="s">
        <v>2706</v>
      </c>
      <c r="D102" s="3086" t="s">
        <v>2707</v>
      </c>
      <c r="E102" s="3112">
        <v>0.1</v>
      </c>
      <c r="F102" s="3112">
        <v>15</v>
      </c>
    </row>
    <row r="103" spans="1:6" ht="24">
      <c r="A103" s="3112">
        <v>31</v>
      </c>
      <c r="B103" s="3787"/>
      <c r="C103" s="3086" t="s">
        <v>2708</v>
      </c>
      <c r="D103" s="3086" t="s">
        <v>2709</v>
      </c>
      <c r="E103" s="3112">
        <v>0.1</v>
      </c>
      <c r="F103" s="3112">
        <v>15</v>
      </c>
    </row>
    <row r="104" spans="1:6" ht="24">
      <c r="A104" s="3112">
        <v>32</v>
      </c>
      <c r="B104" s="3787"/>
      <c r="C104" s="3086" t="s">
        <v>2710</v>
      </c>
      <c r="D104" s="3086" t="s">
        <v>2711</v>
      </c>
      <c r="E104" s="3112">
        <v>0.1</v>
      </c>
      <c r="F104" s="3112">
        <v>15</v>
      </c>
    </row>
    <row r="105" spans="1:6" ht="24">
      <c r="A105" s="3112">
        <v>33</v>
      </c>
      <c r="B105" s="3787"/>
      <c r="C105" s="3086" t="s">
        <v>2712</v>
      </c>
      <c r="D105" s="3086" t="s">
        <v>2713</v>
      </c>
      <c r="E105" s="3112">
        <v>0.1</v>
      </c>
      <c r="F105" s="3112">
        <v>15</v>
      </c>
    </row>
    <row r="106" spans="1:6" ht="24">
      <c r="A106" s="3112">
        <v>34</v>
      </c>
      <c r="B106" s="3796"/>
      <c r="C106" s="3086" t="s">
        <v>2714</v>
      </c>
      <c r="D106" s="3086" t="s">
        <v>2715</v>
      </c>
      <c r="E106" s="3112">
        <v>0.1</v>
      </c>
      <c r="F106" s="3112">
        <v>15</v>
      </c>
    </row>
    <row r="107" spans="1:6" ht="24">
      <c r="A107" s="3112">
        <v>35</v>
      </c>
      <c r="B107" s="3792" t="s">
        <v>2716</v>
      </c>
      <c r="C107" s="3112" t="s">
        <v>2717</v>
      </c>
      <c r="D107" s="3086" t="s">
        <v>2718</v>
      </c>
      <c r="E107" s="3112">
        <v>0.15</v>
      </c>
      <c r="F107" s="3112">
        <v>20</v>
      </c>
    </row>
    <row r="108" spans="1:6" ht="13.5">
      <c r="A108" s="3112">
        <v>36</v>
      </c>
      <c r="B108" s="3787"/>
      <c r="C108" s="3112" t="s">
        <v>2719</v>
      </c>
      <c r="D108" s="3086" t="s">
        <v>2720</v>
      </c>
      <c r="E108" s="3112">
        <v>0.15</v>
      </c>
      <c r="F108" s="3112">
        <v>20</v>
      </c>
    </row>
    <row r="109" spans="1:6" ht="13.5">
      <c r="A109" s="3112">
        <v>37</v>
      </c>
      <c r="B109" s="3787"/>
      <c r="C109" s="3112" t="s">
        <v>2721</v>
      </c>
      <c r="D109" s="3086" t="s">
        <v>2722</v>
      </c>
      <c r="E109" s="3112">
        <v>0.15</v>
      </c>
      <c r="F109" s="3112">
        <v>20</v>
      </c>
    </row>
    <row r="110" spans="1:6" ht="13.5">
      <c r="A110" s="3112">
        <v>38</v>
      </c>
      <c r="B110" s="3787"/>
      <c r="C110" s="3112" t="s">
        <v>2723</v>
      </c>
      <c r="D110" s="3086" t="s">
        <v>2724</v>
      </c>
      <c r="E110" s="3112">
        <v>0.1</v>
      </c>
      <c r="F110" s="3112">
        <v>15</v>
      </c>
    </row>
    <row r="111" spans="1:6" ht="24">
      <c r="A111" s="3112">
        <v>39</v>
      </c>
      <c r="B111" s="3787"/>
      <c r="C111" s="3112" t="s">
        <v>2725</v>
      </c>
      <c r="D111" s="3086" t="s">
        <v>2726</v>
      </c>
      <c r="E111" s="3112">
        <v>0.1</v>
      </c>
      <c r="F111" s="3112">
        <v>15</v>
      </c>
    </row>
    <row r="112" spans="1:6" ht="24">
      <c r="A112" s="3112">
        <v>40</v>
      </c>
      <c r="B112" s="3796"/>
      <c r="C112" s="3112" t="s">
        <v>2727</v>
      </c>
      <c r="D112" s="3086" t="s">
        <v>2728</v>
      </c>
      <c r="E112" s="3112">
        <v>0.1</v>
      </c>
      <c r="F112" s="3112">
        <v>15</v>
      </c>
    </row>
    <row r="113" spans="1:6" ht="13.5">
      <c r="A113" s="3112">
        <v>41</v>
      </c>
      <c r="B113" s="3797" t="s">
        <v>2729</v>
      </c>
      <c r="C113" s="3112" t="s">
        <v>2730</v>
      </c>
      <c r="D113" s="3086" t="s">
        <v>2731</v>
      </c>
      <c r="E113" s="3112">
        <v>0.1</v>
      </c>
      <c r="F113" s="3112">
        <v>15</v>
      </c>
    </row>
    <row r="114" spans="1:6" ht="13.5">
      <c r="A114" s="3112">
        <v>42</v>
      </c>
      <c r="B114" s="3797"/>
      <c r="C114" s="3112" t="s">
        <v>2732</v>
      </c>
      <c r="D114" s="3086" t="s">
        <v>2733</v>
      </c>
      <c r="E114" s="3112">
        <v>0.1</v>
      </c>
      <c r="F114" s="3112">
        <v>15</v>
      </c>
    </row>
    <row r="115" spans="1:6" ht="24">
      <c r="A115" s="3112">
        <v>43</v>
      </c>
      <c r="B115" s="3797"/>
      <c r="C115" s="3112" t="s">
        <v>2734</v>
      </c>
      <c r="D115" s="3086" t="s">
        <v>2735</v>
      </c>
      <c r="E115" s="3112">
        <v>0.1</v>
      </c>
      <c r="F115" s="3112">
        <v>15</v>
      </c>
    </row>
    <row r="116" spans="1:6" ht="13.5">
      <c r="A116" s="3112">
        <v>44</v>
      </c>
      <c r="B116" s="3792" t="s">
        <v>2736</v>
      </c>
      <c r="C116" s="3112" t="s">
        <v>2737</v>
      </c>
      <c r="D116" s="3086" t="s">
        <v>2738</v>
      </c>
      <c r="E116" s="3112">
        <v>0.1</v>
      </c>
      <c r="F116" s="3112">
        <v>15</v>
      </c>
    </row>
    <row r="117" spans="1:6" ht="24">
      <c r="A117" s="3112">
        <v>45</v>
      </c>
      <c r="B117" s="3796"/>
      <c r="C117" s="3086" t="s">
        <v>2739</v>
      </c>
      <c r="D117" s="3086" t="s">
        <v>2740</v>
      </c>
      <c r="E117" s="3112">
        <v>0.1</v>
      </c>
      <c r="F117" s="3112">
        <v>15</v>
      </c>
    </row>
    <row r="118" spans="1:6" ht="24">
      <c r="A118" s="3112">
        <v>46</v>
      </c>
      <c r="B118" s="3792" t="s">
        <v>2741</v>
      </c>
      <c r="C118" s="3112" t="s">
        <v>2742</v>
      </c>
      <c r="D118" s="3086" t="s">
        <v>2743</v>
      </c>
      <c r="E118" s="3112">
        <v>0.1</v>
      </c>
      <c r="F118" s="3112">
        <v>15</v>
      </c>
    </row>
    <row r="119" spans="1:6" ht="24">
      <c r="A119" s="3112">
        <v>47</v>
      </c>
      <c r="B119" s="3796"/>
      <c r="C119" s="3112" t="s">
        <v>2744</v>
      </c>
      <c r="D119" s="3086" t="s">
        <v>2745</v>
      </c>
      <c r="E119" s="3112">
        <v>0.1</v>
      </c>
      <c r="F119" s="3112">
        <v>15</v>
      </c>
    </row>
    <row r="120" spans="1:6" ht="13.5">
      <c r="A120" s="3112">
        <v>48</v>
      </c>
      <c r="B120" s="3792" t="s">
        <v>2746</v>
      </c>
      <c r="C120" s="3112" t="s">
        <v>2747</v>
      </c>
      <c r="D120" s="3086" t="s">
        <v>2748</v>
      </c>
      <c r="E120" s="3112">
        <v>0.1</v>
      </c>
      <c r="F120" s="3112">
        <v>15</v>
      </c>
    </row>
    <row r="121" spans="1:6" ht="13.5">
      <c r="A121" s="3112">
        <v>49</v>
      </c>
      <c r="B121" s="3796"/>
      <c r="C121" s="3112" t="s">
        <v>2749</v>
      </c>
      <c r="D121" s="3086" t="s">
        <v>2750</v>
      </c>
      <c r="E121" s="3112">
        <v>0.1</v>
      </c>
      <c r="F121" s="3112">
        <v>15</v>
      </c>
    </row>
    <row r="122" spans="1:6" ht="24">
      <c r="A122" s="3112">
        <v>50</v>
      </c>
      <c r="B122" s="3797" t="s">
        <v>2751</v>
      </c>
      <c r="C122" s="3112" t="s">
        <v>2752</v>
      </c>
      <c r="D122" s="3086" t="s">
        <v>2753</v>
      </c>
      <c r="E122" s="3112">
        <v>0.1</v>
      </c>
      <c r="F122" s="3112">
        <v>15</v>
      </c>
    </row>
    <row r="123" spans="1:6" ht="24">
      <c r="A123" s="3112">
        <v>51</v>
      </c>
      <c r="B123" s="3797"/>
      <c r="C123" s="3112" t="s">
        <v>2754</v>
      </c>
      <c r="D123" s="3086" t="s">
        <v>2755</v>
      </c>
      <c r="E123" s="3112">
        <v>0.1</v>
      </c>
      <c r="F123" s="3112">
        <v>15</v>
      </c>
    </row>
    <row r="124" spans="1:6" ht="24">
      <c r="A124" s="3112">
        <v>52</v>
      </c>
      <c r="B124" s="3797" t="s">
        <v>2756</v>
      </c>
      <c r="C124" s="3112" t="s">
        <v>2757</v>
      </c>
      <c r="D124" s="3086" t="s">
        <v>2758</v>
      </c>
      <c r="E124" s="3112">
        <v>0.1</v>
      </c>
      <c r="F124" s="3112">
        <v>15</v>
      </c>
    </row>
    <row r="125" spans="1:6" ht="24">
      <c r="A125" s="3112">
        <v>53</v>
      </c>
      <c r="B125" s="3797"/>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97" t="s">
        <v>2764</v>
      </c>
      <c r="C127" s="3112" t="s">
        <v>2765</v>
      </c>
      <c r="D127" s="3086" t="s">
        <v>2766</v>
      </c>
      <c r="E127" s="3112">
        <v>0.1</v>
      </c>
      <c r="F127" s="3112">
        <v>15</v>
      </c>
    </row>
    <row r="128" spans="1:6" ht="13.5">
      <c r="A128" s="3112">
        <v>56</v>
      </c>
      <c r="B128" s="3797"/>
      <c r="C128" s="3112" t="s">
        <v>2767</v>
      </c>
      <c r="D128" s="3086" t="s">
        <v>2768</v>
      </c>
      <c r="E128" s="3112">
        <v>0.1</v>
      </c>
      <c r="F128" s="3112">
        <v>15</v>
      </c>
    </row>
    <row r="129" spans="1:6" ht="24">
      <c r="A129" s="3112">
        <v>57</v>
      </c>
      <c r="B129" s="3797"/>
      <c r="C129" s="3112" t="s">
        <v>2769</v>
      </c>
      <c r="D129" s="3086" t="s">
        <v>2770</v>
      </c>
      <c r="E129" s="3112">
        <v>0.1</v>
      </c>
      <c r="F129" s="3112">
        <v>15</v>
      </c>
    </row>
    <row r="130" spans="1:6" ht="24">
      <c r="A130" s="3112">
        <v>58</v>
      </c>
      <c r="B130" s="3797" t="s">
        <v>2771</v>
      </c>
      <c r="C130" s="3112" t="s">
        <v>2772</v>
      </c>
      <c r="D130" s="3086" t="s">
        <v>2773</v>
      </c>
      <c r="E130" s="3112">
        <v>0.1</v>
      </c>
      <c r="F130" s="3112">
        <v>15</v>
      </c>
    </row>
    <row r="131" spans="1:6" ht="13.5">
      <c r="A131" s="3112">
        <v>59</v>
      </c>
      <c r="B131" s="3797"/>
      <c r="C131" s="3112" t="s">
        <v>2774</v>
      </c>
      <c r="D131" s="3086" t="s">
        <v>2775</v>
      </c>
      <c r="E131" s="3112">
        <v>0.1</v>
      </c>
      <c r="F131" s="3112">
        <v>15</v>
      </c>
    </row>
    <row r="132" spans="1:6" ht="13.5">
      <c r="A132" s="3112">
        <v>60</v>
      </c>
      <c r="B132" s="3792" t="s">
        <v>2776</v>
      </c>
      <c r="C132" s="3112" t="s">
        <v>2777</v>
      </c>
      <c r="D132" s="3086" t="s">
        <v>2778</v>
      </c>
      <c r="E132" s="3112">
        <v>0.1</v>
      </c>
      <c r="F132" s="3112">
        <v>15</v>
      </c>
    </row>
    <row r="133" spans="1:6" ht="13.5">
      <c r="A133" s="3112">
        <v>61</v>
      </c>
      <c r="B133" s="3796"/>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97" t="s">
        <v>2784</v>
      </c>
      <c r="C135" s="3112" t="s">
        <v>2785</v>
      </c>
      <c r="D135" s="3086" t="s">
        <v>2786</v>
      </c>
      <c r="E135" s="3112">
        <v>0.1</v>
      </c>
      <c r="F135" s="3112">
        <v>15</v>
      </c>
    </row>
    <row r="136" spans="1:6" ht="13.5">
      <c r="A136" s="3112">
        <v>64</v>
      </c>
      <c r="B136" s="3797"/>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2793</v>
      </c>
      <c r="B1" s="3121"/>
      <c r="C1" s="3121"/>
      <c r="D1" s="3121"/>
      <c r="E1" s="3121"/>
      <c r="F1" s="3121"/>
      <c r="G1" s="3121"/>
      <c r="H1" s="3121"/>
      <c r="I1" s="3121"/>
      <c r="J1" s="3121"/>
      <c r="K1" s="3121"/>
      <c r="L1" s="3121"/>
      <c r="M1" s="3121"/>
      <c r="N1" s="747"/>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8">
        <f>SUMPRODUCT((A95:A184=ROUNDDOWN(基准地价修正!G3,1))*(B94:M94=基准地价修正!G2)*(B95:M184))</f>
        <v>0</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8">
        <f>SUMPRODUCT((A371:A460=ROUNDDOWN(基准地价修正!G3,1))*(B370:M370=基准地价修正!G2)*(B371:M460))</f>
        <v>0</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28321</v>
      </c>
      <c r="C2" s="2" t="s">
        <v>106</v>
      </c>
      <c r="D2" s="199"/>
      <c r="E2" s="199"/>
      <c r="F2" s="199"/>
      <c r="G2" s="199"/>
    </row>
    <row r="3" spans="1:7" s="200" customFormat="1" ht="18" customHeight="1" thickBot="1">
      <c r="A3" s="203" t="s">
        <v>58</v>
      </c>
      <c r="B3" s="204">
        <f ca="1">ROUND(B2*10000/'数据-汇总表'!E3,0)</f>
        <v>220145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26</v>
      </c>
      <c r="D10" s="843">
        <f>'数据-汇总表'!E6</f>
        <v>1286.47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26</v>
      </c>
      <c r="D19" s="847">
        <f>'数据-汇总表'!E3</f>
        <v>1286.47</v>
      </c>
      <c r="E19" s="211">
        <f>'数据-取费表'!B31</f>
        <v>200</v>
      </c>
      <c r="F19" s="231"/>
      <c r="G19" s="1" t="s">
        <v>436</v>
      </c>
    </row>
    <row r="20" spans="1:7" s="214" customFormat="1" ht="13.5" customHeight="1">
      <c r="A20" s="775" t="s">
        <v>419</v>
      </c>
      <c r="B20" s="210" t="s">
        <v>77</v>
      </c>
      <c r="C20" s="232">
        <f>ROUND((C5+C19)*F20,0)</f>
        <v>310</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1761</v>
      </c>
      <c r="D22" s="235">
        <f ca="1">C26</f>
        <v>5.9999999999999995E-4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13</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3142</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3142</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489</v>
      </c>
      <c r="D34" s="217"/>
      <c r="E34" s="220"/>
      <c r="F34" s="257">
        <f>IF('数据-取费表'!B24=0,1,'数据-取费表'!N16)</f>
        <v>1</v>
      </c>
      <c r="G34" s="219" t="s">
        <v>89</v>
      </c>
    </row>
    <row r="35" spans="1:7" ht="13.5" customHeight="1">
      <c r="A35" s="778" t="s">
        <v>351</v>
      </c>
      <c r="B35" s="215" t="s">
        <v>33</v>
      </c>
      <c r="C35" s="220">
        <f>ROUND(C34*F35,0)</f>
        <v>15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26</v>
      </c>
      <c r="D37" s="217">
        <f>'数据-汇总表'!E3</f>
        <v>1286.47</v>
      </c>
      <c r="E37" s="249">
        <f>'数据-取费表'!B35</f>
        <v>200</v>
      </c>
      <c r="F37" s="259"/>
      <c r="G37" s="261" t="s">
        <v>92</v>
      </c>
    </row>
    <row r="38" spans="1:7" ht="13.5" customHeight="1">
      <c r="A38" s="778" t="s">
        <v>354</v>
      </c>
      <c r="B38" s="215" t="s">
        <v>36</v>
      </c>
      <c r="C38" s="220">
        <f>ROUND(C34*F38,0)</f>
        <v>7</v>
      </c>
      <c r="D38" s="220"/>
      <c r="E38" s="220"/>
      <c r="F38" s="259">
        <f>'数据-取费表'!B36</f>
        <v>1.4999999999999999E-2</v>
      </c>
      <c r="G38" s="219" t="s">
        <v>90</v>
      </c>
    </row>
    <row r="39" spans="1:7" s="214" customFormat="1" ht="13.5" customHeight="1">
      <c r="A39" s="775" t="s">
        <v>338</v>
      </c>
      <c r="B39" s="210" t="s">
        <v>77</v>
      </c>
      <c r="C39" s="232">
        <f>ROUND(C33*F20,0)</f>
        <v>8</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22</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22</v>
      </c>
      <c r="D42" s="238"/>
      <c r="E42" s="238"/>
      <c r="F42" s="239"/>
      <c r="G42" s="3667" t="s">
        <v>94</v>
      </c>
    </row>
    <row r="43" spans="1:7" ht="13.5" customHeight="1">
      <c r="A43" s="778" t="s">
        <v>347</v>
      </c>
      <c r="B43" s="215" t="s">
        <v>426</v>
      </c>
      <c r="C43" s="238">
        <f ca="1">ROUND(IF('数据-取费表'!B22&lt;=1,C39*F22*'数据-取费表'!B21/2,C39*(POWER((1+F22),'数据-取费表'!B21/2)-1)),0)</f>
        <v>0</v>
      </c>
      <c r="D43" s="238"/>
      <c r="E43" s="238"/>
      <c r="F43" s="239"/>
      <c r="G43" s="3668"/>
    </row>
    <row r="44" spans="1:7" ht="13.5" customHeight="1">
      <c r="A44" s="778"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5" t="s">
        <v>341</v>
      </c>
      <c r="B45" s="244" t="s">
        <v>85</v>
      </c>
      <c r="C45" s="245">
        <f>C46</f>
        <v>82</v>
      </c>
      <c r="D45" s="235">
        <f>C47</f>
        <v>2.3E-3</v>
      </c>
      <c r="E45" s="236" t="s">
        <v>102</v>
      </c>
      <c r="F45" s="246"/>
      <c r="G45" s="247" t="s">
        <v>434</v>
      </c>
    </row>
    <row r="46" spans="1:7" s="214" customFormat="1" ht="13.5" customHeight="1">
      <c r="A46" s="778" t="s">
        <v>349</v>
      </c>
      <c r="B46" s="248" t="s">
        <v>427</v>
      </c>
      <c r="C46" s="249">
        <f>ROUND((C33+C39)*F27,0)</f>
        <v>82</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699</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489</v>
      </c>
      <c r="D51" s="232"/>
      <c r="E51" s="232"/>
      <c r="F51" s="264"/>
      <c r="G51" s="234" t="s">
        <v>37</v>
      </c>
    </row>
    <row r="52" spans="1:7" s="208" customFormat="1" ht="16.5" thickBot="1">
      <c r="A52" s="265" t="s">
        <v>38</v>
      </c>
      <c r="B52" s="266"/>
      <c r="C52" s="267">
        <f ca="1">C31+C51</f>
        <v>28321</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2" zoomScale="80" zoomScaleNormal="70" zoomScaleSheetLayoutView="80" workbookViewId="0">
      <selection activeCell="C13" sqref="C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20.99</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f ca="1">ROUND(D2/10000,4)</f>
        <v>3839.5032999999999</v>
      </c>
      <c r="C2" s="1385" t="s">
        <v>879</v>
      </c>
      <c r="D2" s="1469">
        <f ca="1">C40+J29+L46</f>
        <v>38395033</v>
      </c>
      <c r="E2" s="1386" t="s">
        <v>880</v>
      </c>
      <c r="F2" s="1387"/>
      <c r="G2" s="2700"/>
      <c r="H2" s="2689"/>
      <c r="I2" s="2689"/>
      <c r="J2" s="2689"/>
      <c r="K2" s="2690"/>
      <c r="L2" s="2689"/>
      <c r="M2" s="2689"/>
    </row>
    <row r="3" spans="1:37" ht="18" customHeight="1" thickBot="1">
      <c r="A3" s="1388" t="s">
        <v>881</v>
      </c>
      <c r="B3" s="1389">
        <f ca="1">IF(ISERROR(D2/F43),0,ROUND(D2/F43,0))</f>
        <v>29845</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3046562</v>
      </c>
      <c r="D5" s="1362" t="s">
        <v>889</v>
      </c>
      <c r="E5" s="1069"/>
      <c r="F5" s="1070"/>
      <c r="G5" s="1382"/>
      <c r="H5" s="299">
        <v>1</v>
      </c>
      <c r="I5" s="300" t="s">
        <v>888</v>
      </c>
      <c r="J5" s="1068">
        <f ca="1">J6+J10+J12</f>
        <v>0</v>
      </c>
      <c r="K5" s="1362" t="s">
        <v>889</v>
      </c>
      <c r="L5" s="1069"/>
      <c r="M5" s="1070"/>
    </row>
    <row r="6" spans="1:37" ht="18" customHeight="1">
      <c r="A6" s="1067" t="s">
        <v>398</v>
      </c>
      <c r="B6" s="3672" t="s">
        <v>694</v>
      </c>
      <c r="C6" s="1072">
        <f ca="1">ROUND(F6*F8*F7*(1-F9),0)</f>
        <v>3042759</v>
      </c>
      <c r="D6" s="155" t="s">
        <v>2102</v>
      </c>
      <c r="E6" s="302" t="s">
        <v>696</v>
      </c>
      <c r="F6" s="303">
        <f ca="1">INDIRECT("'数据-取费表'!u"&amp;$G$1)</f>
        <v>7.2</v>
      </c>
      <c r="G6" s="1382"/>
      <c r="H6" s="1067" t="s">
        <v>398</v>
      </c>
      <c r="I6" s="3672" t="s">
        <v>694</v>
      </c>
      <c r="J6" s="301">
        <f ca="1">ROUND(M6*M8*M7*(1-M9),0)</f>
        <v>0</v>
      </c>
      <c r="K6" s="1374" t="s">
        <v>2103</v>
      </c>
      <c r="L6" s="302" t="s">
        <v>696</v>
      </c>
      <c r="M6" s="303">
        <f ca="1">INDIRECT("'数据-取费表'!z"&amp;$G$1)</f>
        <v>0</v>
      </c>
    </row>
    <row r="7" spans="1:37" ht="18" customHeight="1">
      <c r="A7" s="1071"/>
      <c r="B7" s="3673"/>
      <c r="C7" s="1073"/>
      <c r="D7" s="307"/>
      <c r="E7" s="1074" t="s">
        <v>697</v>
      </c>
      <c r="F7" s="303">
        <f ca="1">IF(INDIRECT("'数据-取费表'!ah"&amp;$G$1)="",INDIRECT("'数据-取费表'!k"&amp;$G$1),INDIRECT("'数据-取费表'!ah"&amp;$G$1))</f>
        <v>1286.47</v>
      </c>
      <c r="G7" s="1382"/>
      <c r="H7" s="304"/>
      <c r="I7" s="3673"/>
      <c r="J7" s="306"/>
      <c r="K7" s="307"/>
      <c r="L7" s="302" t="s">
        <v>697</v>
      </c>
      <c r="M7" s="303">
        <f ca="1">F7</f>
        <v>1286.47</v>
      </c>
    </row>
    <row r="8" spans="1:37" ht="18" customHeight="1">
      <c r="A8" s="304"/>
      <c r="B8" s="3673"/>
      <c r="C8" s="306"/>
      <c r="D8" s="307"/>
      <c r="E8" s="302" t="s">
        <v>698</v>
      </c>
      <c r="F8" s="303">
        <f ca="1">INDIRECT("'数据-取费表'!ai"&amp;$G$1)</f>
        <v>365</v>
      </c>
      <c r="G8" s="1382"/>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2"/>
      <c r="H9" s="304"/>
      <c r="I9" s="3674"/>
      <c r="J9" s="306"/>
      <c r="K9" s="307"/>
      <c r="L9" s="313" t="s">
        <v>699</v>
      </c>
      <c r="M9" s="314">
        <f ca="1">INDIRECT("'数据-取费表'!ab"&amp;$G$1)</f>
        <v>0</v>
      </c>
    </row>
    <row r="10" spans="1:37" ht="18" customHeight="1">
      <c r="A10" s="1067" t="s">
        <v>402</v>
      </c>
      <c r="B10" s="1363" t="s">
        <v>700</v>
      </c>
      <c r="C10" s="316">
        <f ca="1">ROUND(IF(F10="押一",C6/12*F11,IF(F10="押二",C6/12*2*F11,IF(F10="押三",C6/12*3*F11,C11*F11))),0)</f>
        <v>3803</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4890753</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4888586</v>
      </c>
      <c r="D14" s="1343" t="s">
        <v>708</v>
      </c>
      <c r="E14" s="1340"/>
      <c r="F14" s="319"/>
      <c r="G14" s="1382"/>
      <c r="H14" s="980" t="s">
        <v>398</v>
      </c>
      <c r="I14" s="302" t="s">
        <v>709</v>
      </c>
      <c r="J14" s="21">
        <f ca="1">C29</f>
        <v>6986790</v>
      </c>
      <c r="K14" s="12"/>
      <c r="L14" s="805"/>
      <c r="M14" s="806"/>
    </row>
    <row r="15" spans="1:37" s="1395" customFormat="1" ht="18" customHeight="1" thickBot="1">
      <c r="A15" s="980" t="s">
        <v>399</v>
      </c>
      <c r="B15" s="302" t="s">
        <v>710</v>
      </c>
      <c r="C15" s="21">
        <f ca="1">ROUND(C14*F15,0)</f>
        <v>146658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74291</v>
      </c>
      <c r="K16" s="1085" t="s">
        <v>715</v>
      </c>
      <c r="L16" s="1086"/>
      <c r="M16" s="1070"/>
    </row>
    <row r="17" spans="1:37" s="1395" customFormat="1" ht="18" customHeight="1">
      <c r="A17" s="980" t="s">
        <v>681</v>
      </c>
      <c r="B17" s="302" t="s">
        <v>716</v>
      </c>
      <c r="C17" s="21">
        <f ca="1">ROUND(F17*(F43+INDIRECT("'数据-取费表'!S"&amp;$G$1)),0)</f>
        <v>257294</v>
      </c>
      <c r="D17" s="302" t="s">
        <v>717</v>
      </c>
      <c r="E17" s="302" t="s">
        <v>718</v>
      </c>
      <c r="F17" s="23">
        <f>'数据-取费表'!B35</f>
        <v>200</v>
      </c>
      <c r="G17" s="1394"/>
      <c r="H17" s="980" t="s">
        <v>398</v>
      </c>
      <c r="I17" s="302" t="s">
        <v>719</v>
      </c>
      <c r="J17" s="2314">
        <f ca="1">ROUND(IF(AND(项目基本情况!B11="自然人",项目基本情况!B10="北京市"),J6*M17/(1+'数据-取费表'!C42),J18+J19+J20),0)</f>
        <v>4423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73329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5365867</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80488</v>
      </c>
      <c r="D20" s="323" t="s">
        <v>729</v>
      </c>
      <c r="E20" s="302" t="s">
        <v>712</v>
      </c>
      <c r="F20" s="322">
        <f>'数据-取费表'!B37</f>
        <v>1.4999999999999999E-2</v>
      </c>
      <c r="G20" s="1394"/>
      <c r="H20" s="980" t="s">
        <v>680</v>
      </c>
      <c r="I20" s="155" t="s">
        <v>730</v>
      </c>
      <c r="J20" s="22">
        <f ca="1">ROUND(M20*M21,0)</f>
        <v>4423</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147.41999999999999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69868</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226023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-74291</v>
      </c>
      <c r="K25" s="1093" t="s">
        <v>753</v>
      </c>
      <c r="L25" s="1094"/>
      <c r="M25" s="1095"/>
    </row>
    <row r="26" spans="1:37" ht="18" customHeight="1">
      <c r="A26" s="980" t="s">
        <v>397</v>
      </c>
      <c r="B26" s="302" t="s">
        <v>754</v>
      </c>
      <c r="C26" s="21">
        <f ca="1">ROUND((C19+C20)*F26,0)</f>
        <v>816953</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6986790</v>
      </c>
      <c r="D29" s="1090"/>
      <c r="E29" s="1088"/>
      <c r="F29" s="1091"/>
      <c r="G29" s="1394"/>
      <c r="H29" s="334" t="s">
        <v>396</v>
      </c>
      <c r="I29" s="335" t="s">
        <v>768</v>
      </c>
      <c r="J29" s="336">
        <f ca="1">ROUND(J26/(1+F40)^F41,0)</f>
        <v>0</v>
      </c>
      <c r="K29" s="337" t="s">
        <v>769</v>
      </c>
      <c r="L29" s="338"/>
      <c r="M29" s="339">
        <f ca="1">INDIRECT("'数据-取费表'!k"&amp;$G$1)</f>
        <v>1286.47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619672</v>
      </c>
      <c r="D30" s="1085" t="s">
        <v>715</v>
      </c>
      <c r="E30" s="1086"/>
      <c r="F30" s="1070"/>
      <c r="G30" s="1382"/>
      <c r="H30" s="2691"/>
      <c r="I30" s="1396"/>
      <c r="J30" s="1397"/>
      <c r="K30" s="2470"/>
      <c r="L30" s="2692"/>
      <c r="M30" s="2693"/>
    </row>
    <row r="31" spans="1:37" ht="18" customHeight="1">
      <c r="A31" s="980" t="s">
        <v>398</v>
      </c>
      <c r="B31" s="302" t="s">
        <v>719</v>
      </c>
      <c r="C31" s="2314">
        <f ca="1">ROUND(IF(AND(项目基本情况!B11="自然人",项目基本情况!B10="北京市"),C6*F31/(1+'数据-取费表'!C42),C32+C33+C34),0)</f>
        <v>514447</v>
      </c>
      <c r="D31" s="1343" t="s">
        <v>720</v>
      </c>
      <c r="E31" s="1342" t="s">
        <v>770</v>
      </c>
      <c r="F31" s="2313" t="str">
        <f>IF(项目基本情况!B11="企业","——",IF(M47="住宅",IF(F6*F7*F8/12/(1+'数据-取费表'!F30)&gt;100000,4%,2.5%),IF(F6*F7*F8/12/(1+'数据-取费表'!F30)&gt;100000,12%,7%)))</f>
        <v>——</v>
      </c>
      <c r="G31" s="1382"/>
      <c r="H31" s="2802" t="s">
        <v>2302</v>
      </c>
      <c r="I31" s="1396"/>
      <c r="J31" s="1397"/>
      <c r="K31" s="2470"/>
      <c r="L31" s="2692"/>
      <c r="M31" s="2693"/>
    </row>
    <row r="32" spans="1:37" ht="18" customHeight="1">
      <c r="A32" s="980" t="s">
        <v>397</v>
      </c>
      <c r="B32" s="302" t="s">
        <v>723</v>
      </c>
      <c r="C32" s="21">
        <f ca="1">IF(项目基本情况!B11="自然人","——",ROUND(C6*F32/(1+'数据-取费表'!C42),0))</f>
        <v>162280</v>
      </c>
      <c r="D32" s="1342" t="s">
        <v>724</v>
      </c>
      <c r="E32" s="302" t="s">
        <v>712</v>
      </c>
      <c r="F32" s="331">
        <f>'数据-取费表'!B41</f>
        <v>5.6000000000000001E-2</v>
      </c>
      <c r="G32" s="1382"/>
      <c r="H32" s="2691"/>
      <c r="I32" s="1396"/>
      <c r="J32" s="1397"/>
      <c r="K32" s="2470"/>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347744</v>
      </c>
      <c r="D33" s="1368" t="s">
        <v>3337</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4423</v>
      </c>
      <c r="D34" s="324" t="s">
        <v>731</v>
      </c>
      <c r="E34" s="302" t="s">
        <v>732</v>
      </c>
      <c r="F34" s="325">
        <f>'数据-取费表'!B52</f>
        <v>30</v>
      </c>
      <c r="G34" s="1382"/>
      <c r="H34" s="2691"/>
      <c r="I34" s="1396"/>
      <c r="J34" s="1397"/>
      <c r="K34" s="2696"/>
      <c r="L34" s="2697"/>
      <c r="M34" s="2697"/>
    </row>
    <row r="35" spans="1:18" ht="18" customHeight="1">
      <c r="A35" s="1101"/>
      <c r="B35" s="1099"/>
      <c r="C35" s="26"/>
      <c r="D35" s="327"/>
      <c r="E35" s="302" t="s">
        <v>736</v>
      </c>
      <c r="F35" s="303">
        <f ca="1">INDIRECT("'数据-取费表'!r"&amp;$G$1)</f>
        <v>147.41999999999999</v>
      </c>
      <c r="G35" s="1382"/>
      <c r="H35" s="2691"/>
      <c r="I35" s="1396"/>
      <c r="J35" s="1397"/>
      <c r="K35" s="2695"/>
      <c r="L35" s="2694"/>
      <c r="M35" s="2694"/>
    </row>
    <row r="36" spans="1:18" ht="18" customHeight="1">
      <c r="A36" s="1100" t="s">
        <v>402</v>
      </c>
      <c r="B36" s="302" t="s">
        <v>738</v>
      </c>
      <c r="C36" s="21">
        <f ca="1">ROUND(C29*F36,0)</f>
        <v>69868</v>
      </c>
      <c r="D36" s="1342" t="s">
        <v>771</v>
      </c>
      <c r="E36" s="302" t="s">
        <v>712</v>
      </c>
      <c r="F36" s="328">
        <f ca="1">INDIRECT("'数据-取费表'!Ak"&amp;$G$1)</f>
        <v>0.01</v>
      </c>
      <c r="G36" s="1382"/>
      <c r="H36" s="2694"/>
      <c r="I36" s="1396"/>
      <c r="J36" s="1397"/>
      <c r="K36" s="2539"/>
      <c r="L36" s="2694"/>
      <c r="M36" s="2694"/>
    </row>
    <row r="37" spans="1:18" ht="18" customHeight="1">
      <c r="A37" s="980" t="s">
        <v>437</v>
      </c>
      <c r="B37" s="302" t="s">
        <v>742</v>
      </c>
      <c r="C37" s="21">
        <f ca="1">ROUND(C13*F37,0)</f>
        <v>4891</v>
      </c>
      <c r="D37" s="1342" t="s">
        <v>743</v>
      </c>
      <c r="E37" s="302" t="s">
        <v>744</v>
      </c>
      <c r="F37" s="330">
        <f ca="1">INDIRECT("'数据-取费表'!Al"&amp;$G$1)</f>
        <v>1E-3</v>
      </c>
      <c r="G37" s="1382"/>
      <c r="H37" s="2694"/>
      <c r="I37" s="1396"/>
      <c r="J37" s="1397"/>
      <c r="K37" s="2539"/>
      <c r="L37" s="2694"/>
      <c r="M37" s="2694"/>
    </row>
    <row r="38" spans="1:18" ht="18" customHeight="1" thickBot="1">
      <c r="A38" s="1087" t="s">
        <v>684</v>
      </c>
      <c r="B38" s="1088" t="s">
        <v>728</v>
      </c>
      <c r="C38" s="1089">
        <f ca="1">ROUND(C5*F38,0)</f>
        <v>30466</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2426890</v>
      </c>
      <c r="D39" s="1093" t="s">
        <v>773</v>
      </c>
      <c r="E39" s="1094"/>
      <c r="F39" s="1095"/>
      <c r="G39" s="1382"/>
      <c r="H39" s="2694"/>
      <c r="I39" s="1396"/>
      <c r="J39" s="1397"/>
      <c r="K39" s="2698"/>
      <c r="L39" s="2694"/>
      <c r="M39" s="2694"/>
    </row>
    <row r="40" spans="1:18" ht="18" customHeight="1">
      <c r="A40" s="299" t="s">
        <v>395</v>
      </c>
      <c r="B40" s="300" t="s">
        <v>774</v>
      </c>
      <c r="C40" s="301">
        <f ca="1">ROUND(C39*(1-((1+F42)/(1+F40))^F41)/(F40-F42),0)</f>
        <v>38395033</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20.99</v>
      </c>
      <c r="G41" s="1382"/>
      <c r="H41" s="1189"/>
      <c r="I41" s="1396"/>
      <c r="J41" s="1397"/>
      <c r="K41" s="2539"/>
      <c r="L41" s="1189"/>
      <c r="M41" s="1189"/>
    </row>
    <row r="42" spans="1:18" ht="18" customHeight="1">
      <c r="A42" s="308"/>
      <c r="B42" s="309"/>
      <c r="C42" s="310"/>
      <c r="D42" s="327"/>
      <c r="E42" s="302" t="s">
        <v>766</v>
      </c>
      <c r="F42" s="312">
        <f ca="1">INDIRECT("'数据-取费表'!v"&amp;$G$1)</f>
        <v>0.03</v>
      </c>
      <c r="G42" s="1382"/>
      <c r="H42" s="1189"/>
      <c r="I42" s="1396"/>
      <c r="J42" s="1397"/>
      <c r="K42" s="2539"/>
      <c r="L42" s="1189"/>
      <c r="M42" s="1189"/>
    </row>
    <row r="43" spans="1:18" ht="18" customHeight="1" thickBot="1">
      <c r="A43" s="334" t="s">
        <v>396</v>
      </c>
      <c r="B43" s="335" t="s">
        <v>776</v>
      </c>
      <c r="C43" s="336">
        <f ca="1">ROUND(C40/F43,0)</f>
        <v>29845</v>
      </c>
      <c r="D43" s="337" t="s">
        <v>777</v>
      </c>
      <c r="E43" s="338" t="s">
        <v>778</v>
      </c>
      <c r="F43" s="339">
        <f ca="1">INDIRECT("'数据-取费表'!k"&amp;$G$1)</f>
        <v>1286.47</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f ca="1">ROUND((C68-C40)/10000,4)</f>
        <v>-3936.6761000000001</v>
      </c>
      <c r="D45" s="3428" t="s">
        <v>3354</v>
      </c>
      <c r="E45" s="1398"/>
      <c r="F45" s="1398"/>
      <c r="O45" s="1401" t="s">
        <v>808</v>
      </c>
      <c r="P45" s="1459"/>
      <c r="Q45" s="1459"/>
      <c r="R45" s="1459"/>
    </row>
    <row r="46" spans="1:18" s="1382" customFormat="1" ht="13.5" thickBot="1">
      <c r="A46" s="1402" t="s">
        <v>809</v>
      </c>
      <c r="C46" s="1403">
        <f ca="1">ROUND(C45,0)</f>
        <v>-3937</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38395033</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20.99</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6986790</v>
      </c>
      <c r="R49" s="1418" t="s">
        <v>818</v>
      </c>
    </row>
    <row r="50" spans="1:18" s="1382" customFormat="1" ht="13.5" thickBot="1">
      <c r="A50" s="974"/>
      <c r="B50" s="977"/>
      <c r="C50" s="978"/>
      <c r="D50" s="951"/>
      <c r="E50" s="1054" t="s">
        <v>697</v>
      </c>
      <c r="F50" s="1055">
        <f ca="1">F7</f>
        <v>1286.47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36984791</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20.99</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20.99</v>
      </c>
      <c r="K53" s="3670" t="s">
        <v>837</v>
      </c>
      <c r="L53" s="3671"/>
      <c r="O53" s="1416" t="s">
        <v>409</v>
      </c>
      <c r="P53" s="1417" t="s">
        <v>838</v>
      </c>
      <c r="Q53" s="1418">
        <f ca="1">Q47+Q48</f>
        <v>38395033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4890753</v>
      </c>
      <c r="D56" s="1445"/>
      <c r="E56" s="1446"/>
      <c r="F56" s="1438"/>
      <c r="I56" s="1447" t="s">
        <v>842</v>
      </c>
      <c r="J56" s="1448" t="s">
        <v>3380</v>
      </c>
      <c r="K56" s="1419" t="s">
        <v>843</v>
      </c>
      <c r="L56" s="1422" t="str">
        <f ca="1">IF(L48&lt;J51,"——",L48-J51)</f>
        <v>——</v>
      </c>
      <c r="O56" s="1416" t="s">
        <v>403</v>
      </c>
      <c r="P56" s="1417" t="s">
        <v>817</v>
      </c>
      <c r="Q56" s="1418">
        <f ca="1">C40+J29</f>
        <v>38395033</v>
      </c>
      <c r="R56" s="1418" t="s">
        <v>818</v>
      </c>
    </row>
    <row r="57" spans="1:18" s="1382" customFormat="1" ht="24.75" thickBot="1">
      <c r="A57" s="1449"/>
      <c r="B57" s="948" t="s">
        <v>767</v>
      </c>
      <c r="C57" s="238">
        <f ca="1">C29</f>
        <v>6986790</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79182</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4423</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4423</v>
      </c>
      <c r="D62" s="963" t="s">
        <v>786</v>
      </c>
      <c r="E62" s="948" t="s">
        <v>787</v>
      </c>
      <c r="F62" s="325">
        <f t="shared" si="0"/>
        <v>30</v>
      </c>
      <c r="I62" s="1460" t="s">
        <v>858</v>
      </c>
      <c r="J62" s="1461" t="s">
        <v>859</v>
      </c>
      <c r="K62" s="1461" t="s">
        <v>860</v>
      </c>
      <c r="L62" s="1461" t="s">
        <v>861</v>
      </c>
      <c r="M62" s="1462" t="s">
        <v>862</v>
      </c>
      <c r="O62" s="1416" t="s">
        <v>409</v>
      </c>
      <c r="P62" s="1417" t="s">
        <v>863</v>
      </c>
      <c r="Q62" s="1418">
        <f ca="1">Q56+Q57</f>
        <v>38395033</v>
      </c>
      <c r="R62" s="1418" t="s">
        <v>410</v>
      </c>
    </row>
    <row r="63" spans="1:18" s="1382" customFormat="1" ht="13.5" thickBot="1">
      <c r="A63" s="326"/>
      <c r="B63" s="954"/>
      <c r="C63" s="26"/>
      <c r="D63" s="964"/>
      <c r="E63" s="948" t="s">
        <v>788</v>
      </c>
      <c r="F63" s="303">
        <f t="shared" ca="1" si="0"/>
        <v>147.41999999999999</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69868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4891</v>
      </c>
      <c r="D65" s="962" t="s">
        <v>743</v>
      </c>
      <c r="E65" s="948" t="s">
        <v>744</v>
      </c>
      <c r="F65" s="330">
        <f t="shared" ca="1" si="0"/>
        <v>1E-3</v>
      </c>
      <c r="I65" s="1460" t="s">
        <v>867</v>
      </c>
      <c r="J65" s="1461">
        <v>40</v>
      </c>
      <c r="K65" s="1461">
        <v>30</v>
      </c>
      <c r="L65" s="1461">
        <v>50</v>
      </c>
      <c r="M65" s="1463">
        <v>0.02</v>
      </c>
      <c r="O65" s="1416" t="s">
        <v>403</v>
      </c>
      <c r="P65" s="1417" t="s">
        <v>868</v>
      </c>
      <c r="Q65" s="1418">
        <f ca="1">C40+J29</f>
        <v>38395033</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-79182</v>
      </c>
      <c r="D67" s="961" t="s">
        <v>753</v>
      </c>
      <c r="E67" s="966"/>
      <c r="F67" s="967"/>
      <c r="O67" s="1426" t="s">
        <v>405</v>
      </c>
      <c r="P67" s="1417" t="s">
        <v>850</v>
      </c>
      <c r="Q67" s="1464">
        <f ca="1">L51</f>
        <v>36984791</v>
      </c>
      <c r="R67" s="1418" t="s">
        <v>870</v>
      </c>
    </row>
    <row r="68" spans="1:18" s="1382" customFormat="1" ht="16.5" thickBot="1">
      <c r="A68" s="945" t="s">
        <v>395</v>
      </c>
      <c r="B68" s="946" t="s">
        <v>774</v>
      </c>
      <c r="C68" s="301">
        <f ca="1">ROUND(C67*(1-((1+F70)/(1+F68))^F69)/(F68-F70),0)</f>
        <v>-971728</v>
      </c>
      <c r="D68" s="963" t="s">
        <v>758</v>
      </c>
      <c r="E68" s="948" t="s">
        <v>759</v>
      </c>
      <c r="F68" s="312">
        <f ca="1">F40</f>
        <v>5.5E-2</v>
      </c>
      <c r="O68" s="1426" t="s">
        <v>406</v>
      </c>
      <c r="P68" s="1465" t="s">
        <v>871</v>
      </c>
      <c r="Q68" s="1418">
        <f ca="1">ROUND(Q69-Q70*Q71,0)</f>
        <v>2035630</v>
      </c>
      <c r="R68" s="1418" t="s">
        <v>414</v>
      </c>
    </row>
    <row r="69" spans="1:18" s="1382" customFormat="1" ht="13.5" thickBot="1">
      <c r="A69" s="949"/>
      <c r="B69" s="950"/>
      <c r="C69" s="306"/>
      <c r="D69" s="968" t="s">
        <v>762</v>
      </c>
      <c r="E69" s="948" t="s">
        <v>763</v>
      </c>
      <c r="F69" s="333">
        <f ca="1">F41</f>
        <v>20.99</v>
      </c>
      <c r="O69" s="1426" t="s">
        <v>411</v>
      </c>
      <c r="P69" s="1465" t="s">
        <v>872</v>
      </c>
      <c r="Q69" s="1418">
        <f ca="1">C39</f>
        <v>2426890</v>
      </c>
      <c r="R69" s="1418" t="s">
        <v>818</v>
      </c>
    </row>
    <row r="70" spans="1:18" s="1382" customFormat="1" ht="13.5" thickBot="1">
      <c r="A70" s="952"/>
      <c r="B70" s="953"/>
      <c r="C70" s="310"/>
      <c r="D70" s="964"/>
      <c r="E70" s="948" t="s">
        <v>766</v>
      </c>
      <c r="F70" s="1052"/>
      <c r="O70" s="1426" t="s">
        <v>412</v>
      </c>
      <c r="P70" s="1465" t="s">
        <v>873</v>
      </c>
      <c r="Q70" s="1418">
        <f ca="1">C13</f>
        <v>4890753</v>
      </c>
      <c r="R70" s="1418" t="s">
        <v>818</v>
      </c>
    </row>
    <row r="71" spans="1:18" s="1382" customFormat="1" ht="13.5" thickBot="1">
      <c r="A71" s="969" t="s">
        <v>396</v>
      </c>
      <c r="B71" s="970" t="s">
        <v>776</v>
      </c>
      <c r="C71" s="336">
        <f ca="1">ROUND(C68/F71,0)</f>
        <v>-755</v>
      </c>
      <c r="D71" s="971" t="s">
        <v>777</v>
      </c>
      <c r="E71" s="972" t="s">
        <v>778</v>
      </c>
      <c r="F71" s="339">
        <f ca="1">F43</f>
        <v>1286.47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391260</v>
      </c>
      <c r="D75" s="1382"/>
      <c r="E75" s="1382"/>
      <c r="F75" s="1382"/>
      <c r="K75" s="1400"/>
      <c r="L75" s="1382"/>
      <c r="O75" s="1416" t="s">
        <v>409</v>
      </c>
      <c r="P75" s="1417" t="s">
        <v>838</v>
      </c>
      <c r="Q75" s="1418">
        <f ca="1">Q65+Q66</f>
        <v>38395033</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0.83899999999999997</v>
      </c>
    </row>
    <row r="80" spans="1:18">
      <c r="B80" s="340" t="s">
        <v>800</v>
      </c>
      <c r="C80" s="274">
        <f ca="1">ROUND(C75/C39,3)</f>
        <v>0.161</v>
      </c>
    </row>
    <row r="81" spans="2:3">
      <c r="B81" s="270" t="s">
        <v>801</v>
      </c>
      <c r="C81" s="238"/>
    </row>
    <row r="82" spans="2:3">
      <c r="B82" s="273" t="s">
        <v>802</v>
      </c>
      <c r="C82" s="275">
        <f ca="1">1-C83</f>
        <v>0.873</v>
      </c>
    </row>
    <row r="83" spans="2:3">
      <c r="B83" s="273" t="s">
        <v>803</v>
      </c>
      <c r="C83" s="274">
        <f ca="1">ROUND(C13/C40,3)</f>
        <v>0.127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1"/>
      <c r="B4" s="3477" t="s">
        <v>917</v>
      </c>
      <c r="C4" s="3477"/>
      <c r="D4" s="3477"/>
      <c r="E4" s="1491"/>
    </row>
    <row r="5" spans="1:5" ht="16.5" thickTop="1">
      <c r="A5" s="1489"/>
      <c r="B5" s="3475" t="s">
        <v>909</v>
      </c>
      <c r="C5" s="1492" t="s">
        <v>910</v>
      </c>
      <c r="D5" s="848">
        <f ca="1">结果表!H101</f>
        <v>4249</v>
      </c>
      <c r="E5" s="1489"/>
    </row>
    <row r="6" spans="1:5" ht="15.75">
      <c r="A6" s="1489"/>
      <c r="B6" s="3475"/>
      <c r="C6" s="1492" t="s">
        <v>911</v>
      </c>
      <c r="D6" s="848" t="str">
        <f ca="1">NUMBERSTRING(INT(D5*10000),2)&amp;"元整"</f>
        <v>肆仟贰佰肆拾玖万元整</v>
      </c>
      <c r="E6" s="1489"/>
    </row>
    <row r="7" spans="1:5" ht="15.75">
      <c r="A7" s="1489"/>
      <c r="B7" s="3480"/>
      <c r="C7" s="1493" t="s">
        <v>912</v>
      </c>
      <c r="D7" s="849">
        <f ca="1">结果表!H102</f>
        <v>33032</v>
      </c>
      <c r="E7" s="1489"/>
    </row>
    <row r="8" spans="1:5" ht="15.75">
      <c r="A8" s="1489"/>
      <c r="B8" s="3481" t="str">
        <f>结果表!E103</f>
        <v>2.估价师知悉的法定优先受偿款</v>
      </c>
      <c r="C8" s="1494" t="s">
        <v>913</v>
      </c>
      <c r="D8" s="849">
        <f>结果表!H103</f>
        <v>0</v>
      </c>
      <c r="E8" s="1489"/>
    </row>
    <row r="9" spans="1:5" ht="15.75">
      <c r="A9" s="1489"/>
      <c r="B9" s="348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4" t="str">
        <f>结果表!E107</f>
        <v>3.房地产抵押价值</v>
      </c>
      <c r="C13" s="1497" t="s">
        <v>910</v>
      </c>
      <c r="D13" s="851">
        <f ca="1">结果表!H107</f>
        <v>4249</v>
      </c>
      <c r="E13" s="1489"/>
    </row>
    <row r="14" spans="1:5" ht="15.75">
      <c r="A14" s="1489"/>
      <c r="B14" s="3475"/>
      <c r="C14" s="1492" t="s">
        <v>911</v>
      </c>
      <c r="D14" s="848" t="str">
        <f ca="1">NUMBERSTRING(INT(D13*10000),2)&amp;"元整"</f>
        <v>肆仟贰佰肆拾玖万元整</v>
      </c>
      <c r="E14" s="1489"/>
    </row>
    <row r="15" spans="1:5" ht="15">
      <c r="A15" s="1489"/>
      <c r="B15" s="3480"/>
      <c r="C15" s="1493" t="s">
        <v>921</v>
      </c>
      <c r="D15" s="857">
        <f ca="1">结果表!H108</f>
        <v>33032</v>
      </c>
      <c r="E15" s="1489"/>
    </row>
    <row r="16" spans="1:5" ht="15">
      <c r="A16" s="1489"/>
      <c r="B16" s="3481" t="str">
        <f>结果表!E109</f>
        <v>——</v>
      </c>
      <c r="C16" s="1497" t="s">
        <v>922</v>
      </c>
      <c r="D16" s="1498" t="str">
        <f>结果表!H109</f>
        <v>——</v>
      </c>
      <c r="E16" s="1489"/>
    </row>
    <row r="17" spans="1:5" ht="15.75">
      <c r="A17" s="1489"/>
      <c r="B17" s="3482"/>
      <c r="C17" s="1492" t="s">
        <v>923</v>
      </c>
      <c r="D17" s="848" t="e">
        <f>NUMBERSTRING(INT(D16*10000),2)&amp;"元整"</f>
        <v>#VALUE!</v>
      </c>
      <c r="E17" s="1489"/>
    </row>
    <row r="18" spans="1:5" ht="15">
      <c r="A18" s="1489"/>
      <c r="B18" s="3483"/>
      <c r="C18" s="1493" t="s">
        <v>912</v>
      </c>
      <c r="D18" s="857" t="str">
        <f>结果表!H110</f>
        <v>——</v>
      </c>
      <c r="E18" s="1489"/>
    </row>
    <row r="19" spans="1:5" ht="15.75">
      <c r="A19" s="1489"/>
      <c r="B19" s="3474" t="str">
        <f>结果表!E111</f>
        <v>——</v>
      </c>
      <c r="C19" s="1497" t="s">
        <v>910</v>
      </c>
      <c r="D19" s="849" t="str">
        <f>结果表!H111</f>
        <v>——</v>
      </c>
      <c r="E19" s="1489"/>
    </row>
    <row r="20" spans="1:5" ht="15.75">
      <c r="A20" s="1489"/>
      <c r="B20" s="3475"/>
      <c r="C20" s="1492" t="s">
        <v>923</v>
      </c>
      <c r="D20" s="848" t="e">
        <f>NUMBERSTRING(INT(D19*10000),2)&amp;"元整"</f>
        <v>#VALUE!</v>
      </c>
      <c r="E20" s="1489"/>
    </row>
    <row r="21" spans="1:5" ht="15.75" thickBot="1">
      <c r="A21" s="1489"/>
      <c r="B21" s="347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1" t="s">
        <v>2082</v>
      </c>
      <c r="D1" s="3802"/>
      <c r="E1" s="3802"/>
      <c r="F1" s="3802"/>
      <c r="G1" s="3802"/>
      <c r="H1" s="3802"/>
      <c r="I1" s="3802"/>
      <c r="J1" s="3802"/>
      <c r="K1" s="3802"/>
      <c r="L1" s="3802"/>
      <c r="M1" s="3802"/>
      <c r="N1" s="3802"/>
      <c r="O1" s="3802"/>
      <c r="P1" s="3802"/>
      <c r="Q1" s="3802"/>
      <c r="R1" s="3802"/>
      <c r="S1" s="3803"/>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7">
        <v>100</v>
      </c>
      <c r="D3" s="3447">
        <v>300</v>
      </c>
      <c r="E3" s="3447">
        <v>500</v>
      </c>
      <c r="F3" s="3447">
        <v>700</v>
      </c>
      <c r="G3" s="3447">
        <v>900</v>
      </c>
      <c r="H3" s="3447">
        <v>1100</v>
      </c>
      <c r="I3" s="3447">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8">
        <v>99</v>
      </c>
      <c r="D4" s="3448">
        <v>100</v>
      </c>
      <c r="E4" s="3448">
        <v>99</v>
      </c>
      <c r="F4" s="3448">
        <v>98</v>
      </c>
      <c r="G4" s="3448">
        <v>97</v>
      </c>
      <c r="H4" s="3448">
        <v>96</v>
      </c>
      <c r="I4" s="3448">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6" t="s">
        <v>3460</v>
      </c>
      <c r="C5" s="993" t="s">
        <v>3461</v>
      </c>
      <c r="D5" s="994" t="s">
        <v>3462</v>
      </c>
      <c r="E5" s="994" t="s">
        <v>3463</v>
      </c>
      <c r="F5" s="1310"/>
      <c r="G5" s="1310"/>
      <c r="H5" s="1310"/>
      <c r="I5" s="1310"/>
      <c r="J5" s="1310"/>
      <c r="K5" s="1310"/>
      <c r="L5" s="1311"/>
      <c r="M5" s="1312"/>
      <c r="N5" s="1312"/>
      <c r="O5" s="1310"/>
      <c r="P5" s="1310"/>
      <c r="Q5" s="1310"/>
      <c r="R5" s="1310"/>
      <c r="S5" s="1313"/>
      <c r="T5" s="996">
        <f>'比较法-办公'!K27</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f ca="1">IF(D20="——",S22,S22-F20)</f>
        <v>6034</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f ca="1">ROUND(B20*10000/B22,0)</f>
        <v>34218</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1763.4099999999999</v>
      </c>
      <c r="C22" s="3798" t="s">
        <v>27</v>
      </c>
      <c r="D22" s="3799"/>
      <c r="E22" s="3799"/>
      <c r="F22" s="3799"/>
      <c r="G22" s="3799"/>
      <c r="H22" s="3799"/>
      <c r="I22" s="3799"/>
      <c r="J22" s="3799"/>
      <c r="K22" s="3799"/>
      <c r="L22" s="3799"/>
      <c r="M22" s="3799"/>
      <c r="N22" s="3799"/>
      <c r="O22" s="3799"/>
      <c r="P22" s="3799"/>
      <c r="Q22" s="3800"/>
      <c r="R22" s="661">
        <f ca="1">ROUND(S22*10000/B22,0)</f>
        <v>34218</v>
      </c>
      <c r="S22" s="21">
        <f ca="1">SUM(S24:S10000)</f>
        <v>6034</v>
      </c>
      <c r="T22" s="723">
        <v>6095</v>
      </c>
      <c r="U22" s="723">
        <f ca="1">T22-S22</f>
        <v>61</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'数据-基础表'!C13</f>
        <v>512-516</v>
      </c>
      <c r="B24" s="663">
        <f>'数据-基础表'!I13</f>
        <v>1286.47</v>
      </c>
      <c r="C24" s="2804">
        <v>1</v>
      </c>
      <c r="D24" s="2805" t="s">
        <v>3463</v>
      </c>
      <c r="E24" s="2804">
        <v>1</v>
      </c>
      <c r="F24" s="2805"/>
      <c r="G24" s="2804">
        <v>1</v>
      </c>
      <c r="H24" s="2805"/>
      <c r="I24" s="2804">
        <v>1</v>
      </c>
      <c r="J24" s="2805"/>
      <c r="K24" s="2804">
        <v>1</v>
      </c>
      <c r="L24" s="2805"/>
      <c r="M24" s="2804">
        <v>1</v>
      </c>
      <c r="N24" s="2805"/>
      <c r="O24" s="2804">
        <v>1</v>
      </c>
      <c r="P24" s="2805"/>
      <c r="Q24" s="2804">
        <v>1</v>
      </c>
      <c r="R24" s="666">
        <f ca="1">结果表!G20</f>
        <v>33032</v>
      </c>
      <c r="S24" s="664">
        <f t="shared" ref="S24:S54" ca="1" si="11">ROUND(R24*B24/10000,0)</f>
        <v>4249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2101</v>
      </c>
      <c r="B25" s="663">
        <f>'数据-基础表'!I14</f>
        <v>236.83</v>
      </c>
      <c r="C25" s="21">
        <f>IF(B25="",1,(LOOKUP(B25,$3:$3,$4:$4)-LOOKUP($B$24,$3:$3,$4:$4)+100)/100)</f>
        <v>1.03</v>
      </c>
      <c r="D25" s="665" t="s">
        <v>3461</v>
      </c>
      <c r="E25" s="21">
        <f>(SUMIF($5:$5,D25,$6:$6)-SUMIF($5:$5,$D$24,$6:$6)+100)/100</f>
        <v>1.1000000000000001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37425</v>
      </c>
      <c r="S25" s="316">
        <f t="shared" ca="1" si="11"/>
        <v>886</v>
      </c>
    </row>
    <row r="26" spans="1:45">
      <c r="A26" s="663">
        <f>'数据-基础表'!C15</f>
        <v>2201</v>
      </c>
      <c r="B26" s="663">
        <f>'数据-基础表'!I15</f>
        <v>240.11</v>
      </c>
      <c r="C26" s="21">
        <f t="shared" ref="C26:C89" si="12">IF(B26="",1,(LOOKUP(B26,$3:$3,$4:$4)-LOOKUP($B$24,$3:$3,$4:$4)+100)/100)</f>
        <v>1.03</v>
      </c>
      <c r="D26" s="665" t="s">
        <v>3461</v>
      </c>
      <c r="E26" s="21">
        <f t="shared" ref="E26:E89" si="13">(SUMIF($5:$5,D26,$6:$6)-SUMIF($5:$5,$D$24,$6:$6)+100)/100</f>
        <v>1.1000000000000001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37425</v>
      </c>
      <c r="S26" s="316">
        <f t="shared" ca="1" si="11"/>
        <v>899</v>
      </c>
    </row>
    <row r="27" spans="1:45">
      <c r="A27" s="150"/>
      <c r="B27" s="54"/>
      <c r="C27" s="21">
        <f t="shared" si="12"/>
        <v>1</v>
      </c>
      <c r="D27" s="665"/>
      <c r="E27" s="21">
        <f t="shared" si="13"/>
        <v>0.1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6" t="s">
        <v>2840</v>
      </c>
      <c r="B1" s="3806"/>
      <c r="C1" s="3806"/>
      <c r="D1" s="3806"/>
      <c r="E1" s="3806"/>
      <c r="F1" s="3806"/>
      <c r="G1" s="3807"/>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04" t="s">
        <v>2867</v>
      </c>
      <c r="B3" s="3225"/>
      <c r="C3" s="3226" t="s">
        <v>2806</v>
      </c>
      <c r="D3" s="3226" t="s">
        <v>2868</v>
      </c>
      <c r="E3" s="3226" t="s">
        <v>2808</v>
      </c>
      <c r="F3" s="3226" t="s">
        <v>2869</v>
      </c>
      <c r="G3" s="3226" t="s">
        <v>2626</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05"/>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8" t="s">
        <v>3182</v>
      </c>
      <c r="B1" s="3808"/>
    </row>
    <row r="2" spans="1:7" ht="14.25" thickBot="1">
      <c r="A2" s="3250"/>
      <c r="B2" s="3250"/>
    </row>
    <row r="3" spans="1:7" ht="14.25" thickBot="1">
      <c r="A3" s="3250"/>
      <c r="B3" s="3250"/>
      <c r="C3" s="3251" t="s">
        <v>2806</v>
      </c>
      <c r="D3" s="3251" t="s">
        <v>2868</v>
      </c>
      <c r="E3" s="3251" t="s">
        <v>2808</v>
      </c>
      <c r="F3" s="3251" t="s">
        <v>2869</v>
      </c>
      <c r="G3" s="3251" t="s">
        <v>2626</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9" t="s">
        <v>3233</v>
      </c>
      <c r="B1" s="3809"/>
      <c r="C1" s="3809"/>
      <c r="D1" s="3809"/>
      <c r="E1" s="3809"/>
      <c r="F1" s="3810"/>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6">
        <f>基准地价修正!G23</f>
        <v>44965</v>
      </c>
      <c r="B1" s="3205" t="s">
        <v>2839</v>
      </c>
      <c r="C1" s="3206"/>
      <c r="D1" s="3206"/>
      <c r="E1" s="3206"/>
      <c r="F1" s="3206"/>
      <c r="G1" s="3206"/>
      <c r="H1" s="3206"/>
      <c r="I1" s="3206"/>
      <c r="J1" s="3159"/>
      <c r="K1" s="3206" t="s">
        <v>454</v>
      </c>
      <c r="L1" s="3206"/>
      <c r="M1" s="3206"/>
      <c r="N1" s="3206"/>
      <c r="O1" s="3206"/>
      <c r="P1" s="3206"/>
      <c r="Q1" s="3159"/>
      <c r="R1" s="3811" t="s">
        <v>456</v>
      </c>
      <c r="S1" s="3812"/>
      <c r="T1" s="3812"/>
      <c r="U1" s="3812"/>
      <c r="V1" s="3812"/>
      <c r="W1" s="3812"/>
      <c r="X1" s="3159"/>
      <c r="Y1" s="3811" t="s">
        <v>457</v>
      </c>
      <c r="Z1" s="3812"/>
      <c r="AA1" s="3812"/>
      <c r="AB1" s="3812"/>
      <c r="AC1" s="3812"/>
      <c r="AD1" s="3812"/>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2815</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ROUND(IF([4]项目基本情况!B8="出让",SUMPRODUCT(PRODUCT(1+K5:K13)),SUMPRODUCT(PRODUCT(1+K5:K12))),4)</f>
        <v>1.05</v>
      </c>
      <c r="S5" s="3177">
        <f>ROUND(IF([4]项目基本情况!B8="出让",SUMPRODUCT(PRODUCT(1+L5:L13)),SUMPRODUCT(PRODUCT(1+L5:L12))),4)</f>
        <v>1.0229999999999999</v>
      </c>
      <c r="T5" s="3177">
        <f>ROUND(IF([4]项目基本情况!B8="出让",SUMPRODUCT(PRODUCT(1+M5:M13)),SUMPRODUCT(PRODUCT(1+M5:M12))),4)</f>
        <v>1.0134000000000001</v>
      </c>
      <c r="U5" s="3177">
        <f>ROUND(IF([4]项目基本情况!B8="出让",SUMPRODUCT(PRODUCT(1+N5:N13)),SUMPRODUCT(PRODUCT(1+N5:N12))),4)</f>
        <v>1.0545</v>
      </c>
      <c r="V5" s="3177">
        <f>ROUND(IF([4]项目基本情况!B8="出让",SUMPRODUCT(PRODUCT(1+O5:O13)),SUMPRODUCT(PRODUCT(1+O5:O12))),4)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2816</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ROUND(IF([4]项目基本情况!B8="出让",SUMPRODUCT(PRODUCT(1+K6:K13)),SUMPRODUCT(PRODUCT(1+K6:K12))),4)</f>
        <v>1.05</v>
      </c>
      <c r="S6" s="3177">
        <f>ROUND(IF([4]项目基本情况!B8="出让",SUMPRODUCT(PRODUCT(1+L6:L13)),SUMPRODUCT(PRODUCT(1+L6:L12))),4)</f>
        <v>1.0229999999999999</v>
      </c>
      <c r="T6" s="3177">
        <f>ROUND(IF([4]项目基本情况!B8="出让",SUMPRODUCT(PRODUCT(1+M6:M13)),SUMPRODUCT(PRODUCT(1+M6:M12))),4)</f>
        <v>1.0134000000000001</v>
      </c>
      <c r="U6" s="3177">
        <f>ROUND(IF([4]项目基本情况!B8="出让",SUMPRODUCT(PRODUCT(1+N6:N13)),SUMPRODUCT(PRODUCT(1+N6:N12))),4)</f>
        <v>1.0545</v>
      </c>
      <c r="V6" s="3177">
        <f>ROUND(IF([4]项目基本情况!B8="出让",SUMPRODUCT(PRODUCT(1+O6:O13)),SUMPRODUCT(PRODUCT(1+O6:O12))),4)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3356</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ROUND(IF([4]项目基本情况!B8="出让",SUMPRODUCT(PRODUCT(1+K7:K13)),SUMPRODUCT(PRODUCT(1+K7:K12))),4)</f>
        <v>1.05</v>
      </c>
      <c r="S7" s="3187">
        <f>ROUND(IF([4]项目基本情况!B8="出让",SUMPRODUCT(PRODUCT(1+L7:L13)),SUMPRODUCT(PRODUCT(1+L7:L12))),4)</f>
        <v>1.0229999999999999</v>
      </c>
      <c r="T7" s="3187">
        <f>ROUND(IF([4]项目基本情况!B8="出让",SUMPRODUCT(PRODUCT(1+M7:M13)),SUMPRODUCT(PRODUCT(1+M7:M12))),4)</f>
        <v>1.0134000000000001</v>
      </c>
      <c r="U7" s="3187">
        <f>ROUND(IF([4]项目基本情况!B8="出让",SUMPRODUCT(PRODUCT(1+N7:N13)),SUMPRODUCT(PRODUCT(1+N7:N12))),4)</f>
        <v>1.0545</v>
      </c>
      <c r="V7" s="3187">
        <f>ROUND(IF([4]项目基本情况!B8="出让",SUMPRODUCT(PRODUCT(1+O7:O13)),SUMPRODUCT(PRODUCT(1+O7:O12))),4)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3357</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ROUND(IF([4]项目基本情况!B8="出让",SUMPRODUCT(PRODUCT(1+K8:K13)),SUMPRODUCT(PRODUCT(1+K8:K12))),4)</f>
        <v>1.0430999999999999</v>
      </c>
      <c r="S8" s="3177">
        <f>ROUND(IF([4]项目基本情况!B8="出让",SUMPRODUCT(PRODUCT(1+L8:L13)),SUMPRODUCT(PRODUCT(1+L8:L12))),4)</f>
        <v>1.0197000000000001</v>
      </c>
      <c r="T8" s="3177">
        <f>ROUND(IF([4]项目基本情况!B8="出让",SUMPRODUCT(PRODUCT(1+M8:M13)),SUMPRODUCT(PRODUCT(1+M8:M12))),4)</f>
        <v>1.0109999999999999</v>
      </c>
      <c r="U8" s="3177">
        <f>ROUND(IF([4]项目基本情况!B8="出让",SUMPRODUCT(PRODUCT(1+N8:N13)),SUMPRODUCT(PRODUCT(1+N8:N12))),4)</f>
        <v>1.0468999999999999</v>
      </c>
      <c r="V8" s="3177">
        <f>ROUND(IF([4]项目基本情况!B8="出让",SUMPRODUCT(PRODUCT(1+O8:O13)),SUMPRODUCT(PRODUCT(1+O8:O12))),4)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2817</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ROUND(IF([4]项目基本情况!B8="出让",SUMPRODUCT(PRODUCT(1+K9:K13)),SUMPRODUCT(PRODUCT(1+K9:K12))),4)</f>
        <v>1.0335000000000001</v>
      </c>
      <c r="S9" s="3177">
        <f>ROUND(IF([4]项目基本情况!B8="出让",SUMPRODUCT(PRODUCT(1+L9:L13)),SUMPRODUCT(PRODUCT(1+L9:L12))),4)</f>
        <v>1.0182</v>
      </c>
      <c r="T9" s="3177">
        <f>ROUND(IF([4]项目基本情况!B8="出让",SUMPRODUCT(PRODUCT(1+M9:M13)),SUMPRODUCT(PRODUCT(1+M9:M12))),4)</f>
        <v>1.0108999999999999</v>
      </c>
      <c r="U9" s="3177">
        <f>ROUND(IF([4]项目基本情况!B8="出让",SUMPRODUCT(PRODUCT(1+N9:N13)),SUMPRODUCT(PRODUCT(1+N9:N12))),4)</f>
        <v>1.0361</v>
      </c>
      <c r="V9" s="3177">
        <f>ROUND(IF([4]项目基本情况!B8="出让",SUMPRODUCT(PRODUCT(1+O9:O13)),SUMPRODUCT(PRODUCT(1+O9:O12))),4)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2818</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ROUND(IF([4]项目基本情况!B8="出让",SUMPRODUCT(PRODUCT(1+K10:K13)),SUMPRODUCT(PRODUCT(1+K10:K12))),4)</f>
        <v>1.0244</v>
      </c>
      <c r="S10" s="3177">
        <f>ROUND(IF([4]项目基本情况!B8="出让",SUMPRODUCT(PRODUCT(1+L10:L13)),SUMPRODUCT(PRODUCT(1+L10:L12))),4)</f>
        <v>1.0138</v>
      </c>
      <c r="T10" s="3177">
        <f>ROUND(IF([4]项目基本情况!B8="出让",SUMPRODUCT(PRODUCT(1+M10:M13)),SUMPRODUCT(PRODUCT(1+M10:M12))),4)</f>
        <v>1.0072000000000001</v>
      </c>
      <c r="U10" s="3177">
        <f>ROUND(IF([4]项目基本情况!B8="出让",SUMPRODUCT(PRODUCT(1+N10:N13)),SUMPRODUCT(PRODUCT(1+N10:N12))),4)</f>
        <v>1.0262</v>
      </c>
      <c r="V10" s="3177">
        <f>ROUND(IF([4]项目基本情况!B8="出让",SUMPRODUCT(PRODUCT(1+O10:O13)),SUMPRODUCT(PRODUCT(1+O10:O12))),4)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2819</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ROUND(IF([4]项目基本情况!B8="出让",SUMPRODUCT(PRODUCT(1+K11:K13)),SUMPRODUCT(PRODUCT(1+K11:K12))),4)</f>
        <v>1.0139</v>
      </c>
      <c r="S11" s="3177">
        <f>ROUND(IF([4]项目基本情况!B8="出让",SUMPRODUCT(PRODUCT(1+L11:L13)),SUMPRODUCT(PRODUCT(1+L11:L12))),4)</f>
        <v>1.0113000000000001</v>
      </c>
      <c r="T11" s="3177">
        <f>ROUND(IF([4]项目基本情况!B8="出让",SUMPRODUCT(PRODUCT(1+M11:M13)),SUMPRODUCT(PRODUCT(1+M11:M12))),4)</f>
        <v>1.0065</v>
      </c>
      <c r="U11" s="3177">
        <f>ROUND(IF([4]项目基本情况!B8="出让",SUMPRODUCT(PRODUCT(1+N11:N13)),SUMPRODUCT(PRODUCT(1+N11:N12))),4)</f>
        <v>1.0143</v>
      </c>
      <c r="V11" s="3177">
        <f>ROUND(IF([4]项目基本情况!B8="出让",SUMPRODUCT(PRODUCT(1+O11:O13)),SUMPRODUCT(PRODUCT(1+O11:O12))),4)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2820</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ROUND(IF([4]项目基本情况!B8="出让",SUMPRODUCT(PRODUCT(1+K12:K13)),SUMPRODUCT(PRODUCT(1+K12:K12))),4)</f>
        <v>1.0092000000000001</v>
      </c>
      <c r="S12" s="3177">
        <f>ROUND(IF([4]项目基本情况!B8="出让",SUMPRODUCT(PRODUCT(1+L12:L13)),SUMPRODUCT(PRODUCT(1+L12:L12))),4)</f>
        <v>1.0072000000000001</v>
      </c>
      <c r="T12" s="3177">
        <f>ROUND(IF([4]项目基本情况!B8="出让",SUMPRODUCT(PRODUCT(1+M12:M13)),SUMPRODUCT(PRODUCT(1+M12:M12))),4)</f>
        <v>1.0041</v>
      </c>
      <c r="U12" s="3177">
        <f>ROUND(IF([4]项目基本情况!B8="出让",SUMPRODUCT(PRODUCT(1+N12:N13)),SUMPRODUCT(PRODUCT(1+N12:N12))),4)</f>
        <v>1.0095000000000001</v>
      </c>
      <c r="V12" s="3177">
        <f>ROUND(IF([4]项目基本情况!B8="出让",SUMPRODUCT(PRODUCT(1+O12:O13)),SUMPRODUCT(PRODUCT(1+O12:O12))),4)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2821</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2822</v>
      </c>
    </row>
    <row r="17" spans="1:30" s="3003" customFormat="1"/>
    <row r="18" spans="1:30" s="3204" customFormat="1" ht="12.75">
      <c r="B18" s="3205" t="s">
        <v>2823</v>
      </c>
      <c r="C18" s="3206"/>
      <c r="D18" s="3206"/>
      <c r="E18" s="3206"/>
      <c r="F18" s="3206"/>
      <c r="G18" s="3206"/>
      <c r="H18" s="3206"/>
      <c r="I18" s="3206"/>
      <c r="J18" s="3159"/>
      <c r="K18" s="3206" t="s">
        <v>2824</v>
      </c>
      <c r="L18" s="3206"/>
      <c r="M18" s="3206"/>
      <c r="N18" s="3206"/>
      <c r="O18" s="3206"/>
      <c r="P18" s="3206"/>
      <c r="Q18" s="3159"/>
      <c r="R18" s="3811" t="s">
        <v>2825</v>
      </c>
      <c r="S18" s="3812"/>
      <c r="T18" s="3812"/>
      <c r="U18" s="3812"/>
      <c r="V18" s="3812"/>
      <c r="W18" s="3812"/>
      <c r="X18" s="3159"/>
      <c r="Y18" s="3811" t="s">
        <v>2826</v>
      </c>
      <c r="Z18" s="3812"/>
      <c r="AA18" s="3812"/>
      <c r="AB18" s="3812"/>
      <c r="AC18" s="3812"/>
      <c r="AD18" s="3812"/>
    </row>
    <row r="19" spans="1:30" s="3137" customFormat="1" ht="14.25" thickBot="1">
      <c r="B19" s="3138"/>
      <c r="C19" s="3139"/>
      <c r="D19" s="3140" t="s">
        <v>2827</v>
      </c>
      <c r="E19" s="3141" t="s">
        <v>2828</v>
      </c>
      <c r="F19" s="3141" t="s">
        <v>2829</v>
      </c>
      <c r="G19" s="3141" t="s">
        <v>2830</v>
      </c>
      <c r="H19" s="3141"/>
      <c r="I19" s="3141" t="s">
        <v>2831</v>
      </c>
      <c r="J19" s="3142"/>
      <c r="K19" s="3140" t="s">
        <v>2827</v>
      </c>
      <c r="L19" s="3141" t="s">
        <v>2828</v>
      </c>
      <c r="M19" s="3141" t="s">
        <v>2829</v>
      </c>
      <c r="N19" s="3141" t="s">
        <v>2830</v>
      </c>
      <c r="O19" s="3141"/>
      <c r="P19" s="3141" t="s">
        <v>2831</v>
      </c>
      <c r="Q19" s="3142"/>
      <c r="R19" s="3140" t="s">
        <v>2827</v>
      </c>
      <c r="S19" s="3141" t="s">
        <v>2828</v>
      </c>
      <c r="T19" s="3141" t="s">
        <v>2829</v>
      </c>
      <c r="U19" s="3141" t="s">
        <v>2830</v>
      </c>
      <c r="V19" s="3141"/>
      <c r="W19" s="3141" t="s">
        <v>2831</v>
      </c>
      <c r="X19" s="3142"/>
      <c r="Y19" s="3140" t="s">
        <v>2827</v>
      </c>
      <c r="Z19" s="3141" t="s">
        <v>2828</v>
      </c>
      <c r="AA19" s="3141" t="s">
        <v>2829</v>
      </c>
      <c r="AB19" s="3141" t="s">
        <v>2830</v>
      </c>
      <c r="AC19" s="3141"/>
      <c r="AD19" s="3141" t="s">
        <v>2831</v>
      </c>
    </row>
    <row r="20" spans="1:30" s="3155" customFormat="1" ht="12.75">
      <c r="A20" s="3143" t="s">
        <v>2832</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2833</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ROUND(IF([4]项目基本情况!$B$8="出让",SUMPRODUCT(PRODUCT(1+L22:L$30)),SUMPRODUCT(PRODUCT(1+L22:L$29))),4)</f>
        <v>1.0241</v>
      </c>
      <c r="T22" s="3177">
        <f>ROUND(IF([4]项目基本情况!$B$8="出让",SUMPRODUCT(PRODUCT(1+M22:M$30)),SUMPRODUCT(PRODUCT(1+M22:M$29))),4)</f>
        <v>1.0144</v>
      </c>
      <c r="U22" s="3177">
        <f>ROUND(IF([4]项目基本情况!$B$8="出让",SUMPRODUCT(PRODUCT(1+N22:N$30)),SUMPRODUCT(PRODUCT(1+N22:N$29))),4)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2834</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ROUND(IF([4]项目基本情况!$B$8="出让",SUMPRODUCT(PRODUCT(1+L23:L$30)),SUMPRODUCT(PRODUCT(1+L23:L$29))),4)</f>
        <v>1.0241</v>
      </c>
      <c r="T23" s="3177">
        <f>ROUND(IF([4]项目基本情况!$B$8="出让",SUMPRODUCT(PRODUCT(1+M23:M$30)),SUMPRODUCT(PRODUCT(1+M23:M$29))),4)</f>
        <v>1.0144</v>
      </c>
      <c r="U23" s="3177">
        <f>ROUND(IF([4]项目基本情况!$B$8="出让",SUMPRODUCT(PRODUCT(1+N23:N$30)),SUMPRODUCT(PRODUCT(1+N23:N$29))),4)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3358</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ROUND(IF([4]项目基本情况!$B$8="出让",SUMPRODUCT(PRODUCT(1+L24:L$30)),SUMPRODUCT(PRODUCT(1+L24:L$29))),4)</f>
        <v>1.0241</v>
      </c>
      <c r="T24" s="3187">
        <f>ROUND(IF([4]项目基本情况!$B$8="出让",SUMPRODUCT(PRODUCT(1+M24:M$30)),SUMPRODUCT(PRODUCT(1+M24:M$29))),4)</f>
        <v>1.0144</v>
      </c>
      <c r="U24" s="3187">
        <f>ROUND(IF([4]项目基本情况!$B$8="出让",SUMPRODUCT(PRODUCT(1+N24:N$30)),SUMPRODUCT(PRODUCT(1+N24:N$29))),4)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3357</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ROUND(IF([4]项目基本情况!$B$8="出让",SUMPRODUCT(PRODUCT(1+L25:L$30)),SUMPRODUCT(PRODUCT(1+L25:L$29))),4)</f>
        <v>1.0210999999999999</v>
      </c>
      <c r="T25" s="3177">
        <f>ROUND(IF([4]项目基本情况!$B$8="出让",SUMPRODUCT(PRODUCT(1+M25:M$30)),SUMPRODUCT(PRODUCT(1+M25:M$29))),4)</f>
        <v>1.0114000000000001</v>
      </c>
      <c r="U25" s="3177">
        <f>ROUND(IF([4]项目基本情况!$B$8="出让",SUMPRODUCT(PRODUCT(1+N25:N$30)),SUMPRODUCT(PRODUCT(1+N25:N$29))),4)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2835</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ROUND(IF([4]项目基本情况!$B$8="出让",SUMPRODUCT(PRODUCT(1+L26:L$30)),SUMPRODUCT(PRODUCT(1+L26:L$29))),4)</f>
        <v>1.0222</v>
      </c>
      <c r="T26" s="3177">
        <f>ROUND(IF([4]项目基本情况!$B$8="出让",SUMPRODUCT(PRODUCT(1+M26:M$30)),SUMPRODUCT(PRODUCT(1+M26:M$29))),4)</f>
        <v>1.0127999999999999</v>
      </c>
      <c r="U26" s="3177">
        <f>ROUND(IF([4]项目基本情况!$B$8="出让",SUMPRODUCT(PRODUCT(1+N26:N$30)),SUMPRODUCT(PRODUCT(1+N26:N$29))),4)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2836</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ROUND(IF([4]项目基本情况!$B$8="出让",SUMPRODUCT(PRODUCT(1+L27:L$30)),SUMPRODUCT(PRODUCT(1+L27:L$29))),4)</f>
        <v>1.0161</v>
      </c>
      <c r="T27" s="3177">
        <f>ROUND(IF([4]项目基本情况!$B$8="出让",SUMPRODUCT(PRODUCT(1+M27:M$30)),SUMPRODUCT(PRODUCT(1+M27:M$29))),4)</f>
        <v>1.0082</v>
      </c>
      <c r="U27" s="3177">
        <f>ROUND(IF([4]项目基本情况!$B$8="出让",SUMPRODUCT(PRODUCT(1+N27:N$30)),SUMPRODUCT(PRODUCT(1+N27:N$29))),4)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2837</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ROUND(IF([4]项目基本情况!$B$8="出让",SUMPRODUCT(PRODUCT(1+L28:L$30)),SUMPRODUCT(PRODUCT(1+L28:L$29))),4)</f>
        <v>1.0102</v>
      </c>
      <c r="T28" s="3177">
        <f>ROUND(IF([4]项目基本情况!$B$8="出让",SUMPRODUCT(PRODUCT(1+M28:M$30)),SUMPRODUCT(PRODUCT(1+M28:M$29))),4)</f>
        <v>1.0074000000000001</v>
      </c>
      <c r="U28" s="3177">
        <f>ROUND(IF([4]项目基本情况!$B$8="出让",SUMPRODUCT(PRODUCT(1+N28:N$30)),SUMPRODUCT(PRODUCT(1+N28:N$29))),4)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2838</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ROUND(IF([4]项目基本情况!$B$8="出让",SUMPRODUCT(PRODUCT(1+L29:L$30)),SUMPRODUCT(PRODUCT(1+L29:L$29))),4)</f>
        <v>1.0055000000000001</v>
      </c>
      <c r="T29" s="3177">
        <f>ROUND(IF([4]项目基本情况!$B$8="出让",SUMPRODUCT(PRODUCT(1+M29:M$30)),SUMPRODUCT(PRODUCT(1+M29:M$29))),4)</f>
        <v>1.0045999999999999</v>
      </c>
      <c r="U29" s="3177">
        <f>ROUND(IF([4]项目基本情况!$B$8="出让",SUMPRODUCT(PRODUCT(1+N29:N$30)),SUMPRODUCT(PRODUCT(1+N29:N$29))),4)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2821</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1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44965</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44795</v>
      </c>
      <c r="D13" s="2816">
        <v>3.65</v>
      </c>
      <c r="E13" s="2816">
        <f>D13</f>
        <v>3.65</v>
      </c>
      <c r="F13" s="2816">
        <f>D13</f>
        <v>3.65</v>
      </c>
      <c r="G13" s="2816">
        <f>D13</f>
        <v>3.65</v>
      </c>
      <c r="H13" s="2816">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44701</v>
      </c>
      <c r="D14" s="2811">
        <v>3.7</v>
      </c>
      <c r="E14" s="2811">
        <f>D14</f>
        <v>3.7</v>
      </c>
      <c r="F14" s="2811">
        <f>D14</f>
        <v>3.7</v>
      </c>
      <c r="G14" s="2811">
        <f>D14</f>
        <v>3.7</v>
      </c>
      <c r="H14" s="2811">
        <v>4.45</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44581</v>
      </c>
      <c r="D15" s="2811">
        <v>3.7</v>
      </c>
      <c r="E15" s="2811">
        <f>D15</f>
        <v>3.7</v>
      </c>
      <c r="F15" s="2811">
        <f>D15</f>
        <v>3.7</v>
      </c>
      <c r="G15" s="2811">
        <f>D15</f>
        <v>3.7</v>
      </c>
      <c r="H15" s="2811">
        <v>4.5999999999999996</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2">
        <v>44550</v>
      </c>
      <c r="D16" s="2811">
        <v>3.8</v>
      </c>
      <c r="E16" s="2811">
        <f>D16</f>
        <v>3.8</v>
      </c>
      <c r="F16" s="2811">
        <f>D16</f>
        <v>3.8</v>
      </c>
      <c r="G16" s="2811">
        <f>D16</f>
        <v>3.8</v>
      </c>
      <c r="H16" s="2811">
        <v>4.6500000000000004</v>
      </c>
      <c r="I16" s="2811"/>
      <c r="J16" s="2816"/>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43941</v>
      </c>
      <c r="D17" s="2811">
        <v>3.85</v>
      </c>
      <c r="E17" s="2811">
        <v>3.85</v>
      </c>
      <c r="F17" s="2811">
        <v>3.85</v>
      </c>
      <c r="G17" s="2811">
        <v>3.85</v>
      </c>
      <c r="H17" s="2811">
        <v>4.6500000000000004</v>
      </c>
      <c r="I17" s="2811"/>
      <c r="J17" s="2811"/>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43789</v>
      </c>
      <c r="D19" s="2811">
        <v>4.1500000000000004</v>
      </c>
      <c r="E19" s="2811">
        <v>4.1500000000000004</v>
      </c>
      <c r="F19" s="2811">
        <v>4.1500000000000004</v>
      </c>
      <c r="G19" s="2811">
        <v>4.1500000000000004</v>
      </c>
      <c r="H19" s="2811">
        <v>4.8</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43728</v>
      </c>
      <c r="D20" s="2811">
        <v>4.2</v>
      </c>
      <c r="E20" s="2811">
        <v>4.2</v>
      </c>
      <c r="F20" s="2811">
        <v>4.2</v>
      </c>
      <c r="G20" s="2811">
        <v>4.2</v>
      </c>
      <c r="H20" s="2811">
        <v>4.8499999999999996</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t="s">
        <v>2305</v>
      </c>
      <c r="C21" s="2813">
        <v>43697</v>
      </c>
      <c r="D21" s="2814">
        <v>4.25</v>
      </c>
      <c r="E21" s="2814">
        <v>4.25</v>
      </c>
      <c r="F21" s="2814">
        <v>4.25</v>
      </c>
      <c r="G21" s="2814">
        <v>4.25</v>
      </c>
      <c r="H21" s="2814">
        <v>4.8499999999999996</v>
      </c>
      <c r="I21" s="2814"/>
      <c r="J21" s="2814"/>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7"/>
      <c r="B22" s="2818"/>
      <c r="C22" s="2819">
        <v>42301</v>
      </c>
      <c r="D22" s="2820">
        <v>4.3499999999999996</v>
      </c>
      <c r="E22" s="2820">
        <v>4.3499999999999996</v>
      </c>
      <c r="F22" s="2820">
        <v>4.75</v>
      </c>
      <c r="G22" s="2820">
        <v>4.75</v>
      </c>
      <c r="H22" s="2820">
        <v>4.9000000000000004</v>
      </c>
      <c r="I22" s="2820"/>
      <c r="J22" s="2820"/>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2" t="s">
        <v>925</v>
      </c>
      <c r="E3" s="852" t="s">
        <v>931</v>
      </c>
      <c r="F3" s="852" t="s">
        <v>925</v>
      </c>
      <c r="G3" s="852" t="s">
        <v>926</v>
      </c>
      <c r="H3" s="852" t="s">
        <v>925</v>
      </c>
      <c r="I3" s="852" t="s">
        <v>926</v>
      </c>
    </row>
    <row r="4" spans="1:9" ht="30">
      <c r="A4" s="1503" t="str">
        <f>项目基本情况!S2</f>
        <v>北京市朝阳区朝阳门外大街18号房地产</v>
      </c>
      <c r="B4" s="852">
        <f>项目基本情况!C17</f>
        <v>1286.47</v>
      </c>
      <c r="C4" s="852">
        <f>项目基本情况!C18</f>
        <v>147.41999999999999</v>
      </c>
      <c r="D4" s="852">
        <f ca="1">结果表!D118</f>
        <v>3565</v>
      </c>
      <c r="E4" s="852">
        <f ca="1">结果表!E118</f>
        <v>27714</v>
      </c>
      <c r="F4" s="852">
        <f ca="1">结果表!F118</f>
        <v>684</v>
      </c>
      <c r="G4" s="852">
        <f ca="1">结果表!G118</f>
        <v>5318</v>
      </c>
      <c r="H4" s="852">
        <f ca="1">结果表!H118</f>
        <v>4249</v>
      </c>
      <c r="I4" s="852">
        <f ca="1">结果表!I118</f>
        <v>33032</v>
      </c>
    </row>
    <row r="5" spans="1:9" ht="30" customHeight="1">
      <c r="A5" s="3486" t="s">
        <v>927</v>
      </c>
      <c r="B5" s="3486"/>
      <c r="C5" s="3486"/>
      <c r="D5" s="3486" t="str">
        <f ca="1">结果表!D119</f>
        <v>叁仟伍佰陆拾伍万元整</v>
      </c>
      <c r="E5" s="3486"/>
      <c r="F5" s="3486" t="str">
        <f ca="1">结果表!F119</f>
        <v>陆佰捌拾肆万元整</v>
      </c>
      <c r="G5" s="3486"/>
      <c r="H5" s="3486" t="str">
        <f ca="1">结果表!H119</f>
        <v>肆仟贰佰肆拾玖万元整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4249</v>
      </c>
      <c r="E8" s="3487"/>
      <c r="F8" s="3487"/>
      <c r="G8" s="3487"/>
      <c r="H8" s="3487"/>
      <c r="I8" s="3487"/>
    </row>
    <row r="9" spans="1:9" ht="15">
      <c r="A9" s="3486" t="s">
        <v>927</v>
      </c>
      <c r="B9" s="3486"/>
      <c r="C9" s="3486"/>
      <c r="D9" s="3486" t="str">
        <f ca="1">结果表!D123</f>
        <v>肆仟贰佰肆拾玖万元整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3" t="s">
        <v>949</v>
      </c>
      <c r="B1" s="3493"/>
      <c r="C1" s="3493"/>
      <c r="D1" s="3493"/>
    </row>
    <row r="2" spans="1:4" ht="18">
      <c r="A2" s="3494" t="s">
        <v>933</v>
      </c>
      <c r="B2" s="3494"/>
      <c r="C2" s="3494"/>
      <c r="D2" s="3494"/>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494" t="s">
        <v>939</v>
      </c>
      <c r="B6" s="3494"/>
      <c r="C6" s="3494"/>
      <c r="D6" s="349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945</v>
      </c>
      <c r="B22" s="3501"/>
      <c r="C22" s="3501"/>
      <c r="D22" s="350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7" t="s">
        <v>956</v>
      </c>
      <c r="B15" s="3502" t="s">
        <v>109</v>
      </c>
      <c r="C15" s="3503"/>
    </row>
    <row r="16" spans="1:7" ht="13.5">
      <c r="A16" s="3508"/>
      <c r="B16" s="3502" t="s">
        <v>42</v>
      </c>
      <c r="C16" s="3503"/>
    </row>
    <row r="17" spans="1:3" ht="13.5">
      <c r="A17" s="3508"/>
      <c r="B17" s="3505" t="s">
        <v>957</v>
      </c>
      <c r="C17" s="1530" t="s">
        <v>956</v>
      </c>
    </row>
    <row r="18" spans="1:3" ht="13.5">
      <c r="A18" s="3508"/>
      <c r="B18" s="3505"/>
      <c r="C18" s="1530" t="s">
        <v>958</v>
      </c>
    </row>
    <row r="19" spans="1:3" ht="13.5">
      <c r="A19" s="3508"/>
      <c r="B19" s="3505"/>
      <c r="C19" s="1530" t="s">
        <v>959</v>
      </c>
    </row>
    <row r="20" spans="1:3" ht="13.5">
      <c r="A20" s="3509"/>
      <c r="B20" s="3504" t="s">
        <v>960</v>
      </c>
      <c r="C20" s="3503"/>
    </row>
    <row r="21" spans="1:3" ht="13.5">
      <c r="A21" s="1531" t="s">
        <v>961</v>
      </c>
      <c r="B21" s="1532"/>
      <c r="C21" s="1533"/>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0" t="s">
        <v>967</v>
      </c>
    </row>
    <row r="26" spans="1:3" ht="13.5">
      <c r="A26" s="3506"/>
      <c r="B26" s="3505"/>
      <c r="C26" s="1530" t="s">
        <v>968</v>
      </c>
    </row>
    <row r="27" spans="1:3" ht="13.5">
      <c r="A27" s="3506"/>
      <c r="B27" s="3505"/>
      <c r="C27" s="1530" t="s">
        <v>969</v>
      </c>
    </row>
    <row r="28" spans="1:3" ht="13.5">
      <c r="A28" s="3506"/>
      <c r="B28" s="3505"/>
      <c r="C28" s="1530" t="s">
        <v>970</v>
      </c>
    </row>
    <row r="29" spans="1:3" ht="13.5">
      <c r="A29" s="3506"/>
      <c r="B29" s="3505"/>
      <c r="C29" s="1530" t="s">
        <v>971</v>
      </c>
    </row>
    <row r="30" spans="1:3" ht="13.5">
      <c r="A30" s="3506"/>
      <c r="B30" s="3505"/>
      <c r="C30" s="1530" t="s">
        <v>972</v>
      </c>
    </row>
    <row r="31" spans="1:3" ht="13.5">
      <c r="A31" s="3506"/>
      <c r="B31" s="3505"/>
      <c r="C31" s="1530" t="s">
        <v>973</v>
      </c>
    </row>
    <row r="32" spans="1:3" ht="13.5">
      <c r="A32" s="3506"/>
      <c r="B32" s="3505"/>
      <c r="C32" s="1530" t="s">
        <v>974</v>
      </c>
    </row>
    <row r="33" spans="1:3" ht="13.5">
      <c r="A33" s="3506"/>
      <c r="B33" s="350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44972</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0" t="s">
        <v>2156</v>
      </c>
      <c r="B17" s="3510"/>
      <c r="C17" s="3510"/>
      <c r="D17" s="3510"/>
      <c r="E17" s="3510"/>
      <c r="F17" s="3510"/>
      <c r="G17" s="3510"/>
      <c r="H17" s="3510"/>
    </row>
    <row r="18" spans="1:8" ht="24" customHeight="1">
      <c r="A18" s="3511" t="s">
        <v>2157</v>
      </c>
      <c r="B18" s="3511"/>
      <c r="C18" s="3511"/>
      <c r="D18" s="2341"/>
      <c r="E18" s="3512" t="s">
        <v>2158</v>
      </c>
      <c r="F18" s="3511"/>
      <c r="G18" s="3511"/>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2023-02-15T05:21:43Z</dcterms:modified>
</cp:coreProperties>
</file>